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0" yWindow="0" windowWidth="19200" windowHeight="10995" firstSheet="4" activeTab="4"/>
  </bookViews>
  <sheets>
    <sheet name="8 План18-20-2" sheetId="21" state="hidden" r:id="rId1"/>
    <sheet name="3. ОМ" sheetId="24" state="hidden" r:id="rId2"/>
    <sheet name="Исп.бюдж.01.01.2019" sheetId="31" state="hidden" r:id="rId3"/>
    <sheet name="8 План18-20-5" sheetId="35" state="hidden" r:id="rId4"/>
    <sheet name="12А" sheetId="3" r:id="rId5"/>
    <sheet name="12Б" sheetId="50" r:id="rId6"/>
    <sheet name="12В" sheetId="46" r:id="rId7"/>
    <sheet name="Минфин" sheetId="40" state="hidden" r:id="rId8"/>
    <sheet name="Муниципальные" sheetId="41" state="hidden" r:id="rId9"/>
    <sheet name="Областные" sheetId="42" state="hidden" r:id="rId10"/>
    <sheet name="Пр ГП 19-20" sheetId="43" state="hidden" r:id="rId11"/>
    <sheet name="Исп.бюдж 01.07.19" sheetId="36" state="hidden" r:id="rId12"/>
    <sheet name="11д. Оц эф" sheetId="33" state="hidden" r:id="rId13"/>
    <sheet name="11г" sheetId="34" state="hidden" r:id="rId14"/>
    <sheet name="4. ОКС" sheetId="25" state="hidden" r:id="rId15"/>
    <sheet name="8 План16-20" sheetId="20" state="hidden" r:id="rId16"/>
    <sheet name="12Г" sheetId="47" r:id="rId17"/>
    <sheet name="12Д" sheetId="4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4" hidden="1">'12А'!$A$2:$M$383</definedName>
    <definedName name="_xlnm._FilterDatabase" localSheetId="14" hidden="1">'4. ОКС'!$A$6:$N$164</definedName>
    <definedName name="_xlnm._FilterDatabase" localSheetId="7" hidden="1">Минфин!$A$5:$J$1887</definedName>
    <definedName name="_xlnm._FilterDatabase" localSheetId="9" hidden="1">Областные!#REF!</definedName>
    <definedName name="_xlnm._FilterDatabase" localSheetId="10" hidden="1">'Пр ГП 19-20'!$A$4:$K$277</definedName>
    <definedName name="_xlnm.Print_Titles" localSheetId="16">'12Г'!$2:$2</definedName>
    <definedName name="_xlnm.Print_Titles" localSheetId="7">Минфин!$5:$5</definedName>
    <definedName name="_xlnm.Print_Titles" localSheetId="8">Муниципальные!$4:$5</definedName>
    <definedName name="_xlnm.Print_Titles" localSheetId="9">Областные!$5:$6</definedName>
    <definedName name="_xlnm.Print_Area" localSheetId="12">'11д. Оц эф'!$A$1:$H$15</definedName>
    <definedName name="_xlnm.Print_Area" localSheetId="4">'12А'!$A$1:$M$383</definedName>
    <definedName name="_xlnm.Print_Area" localSheetId="6">'12В'!$A$1:$P$24</definedName>
    <definedName name="_xlnm.Print_Area" localSheetId="16">'12Г'!$A$1:$G$13</definedName>
    <definedName name="_xlnm.Print_Area" localSheetId="17">'12Д'!$A$1:$H$12</definedName>
    <definedName name="_xlnm.Print_Area" localSheetId="1">'3. ОМ'!$A$1:$K$134</definedName>
    <definedName name="_xlnm.Print_Area" localSheetId="14">'4. ОКС'!$A$1:$L$164</definedName>
    <definedName name="_xlnm.Print_Area" localSheetId="15">'8 План16-20'!$A$1:$K$424</definedName>
    <definedName name="_xlnm.Print_Area" localSheetId="0">'8 План18-20-2'!$A$1:$K$442</definedName>
    <definedName name="_xlnm.Print_Area" localSheetId="3">'8 План18-20-5'!$A$1:$K$448</definedName>
    <definedName name="_xlnm.Print_Area" localSheetId="10">'Пр ГП 19-20'!$A$1:$K$277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50" l="1"/>
  <c r="I66" i="50"/>
  <c r="H66" i="50"/>
  <c r="H65" i="50" s="1"/>
  <c r="H64" i="50" s="1"/>
  <c r="H63" i="50" s="1"/>
  <c r="H62" i="50" s="1"/>
  <c r="N65" i="50"/>
  <c r="M65" i="50"/>
  <c r="M64" i="50" s="1"/>
  <c r="M63" i="50" s="1"/>
  <c r="M62" i="50" s="1"/>
  <c r="I65" i="50"/>
  <c r="I64" i="50" s="1"/>
  <c r="I63" i="50" s="1"/>
  <c r="I62" i="50" s="1"/>
  <c r="N63" i="50"/>
  <c r="P62" i="50"/>
  <c r="O62" i="50"/>
  <c r="L62" i="50"/>
  <c r="K62" i="50"/>
  <c r="J62" i="50"/>
  <c r="N62" i="50" s="1"/>
  <c r="I61" i="50"/>
  <c r="M60" i="50"/>
  <c r="L60" i="50"/>
  <c r="N60" i="50" s="1"/>
  <c r="K60" i="50"/>
  <c r="J60" i="50"/>
  <c r="I60" i="50"/>
  <c r="M59" i="50"/>
  <c r="I59" i="50" s="1"/>
  <c r="I8" i="50" s="1"/>
  <c r="L59" i="50"/>
  <c r="N59" i="50" s="1"/>
  <c r="K59" i="50"/>
  <c r="J59" i="50"/>
  <c r="M58" i="50"/>
  <c r="M57" i="50" s="1"/>
  <c r="L58" i="50"/>
  <c r="L57" i="50" s="1"/>
  <c r="K58" i="50"/>
  <c r="K57" i="50" s="1"/>
  <c r="J58" i="50"/>
  <c r="J57" i="50" s="1"/>
  <c r="I58" i="50"/>
  <c r="H57" i="50"/>
  <c r="P57" i="50" s="1"/>
  <c r="L55" i="50"/>
  <c r="K55" i="50"/>
  <c r="J55" i="50"/>
  <c r="J9" i="50" s="1"/>
  <c r="I55" i="50"/>
  <c r="I52" i="50" s="1"/>
  <c r="L54" i="50"/>
  <c r="L52" i="50" s="1"/>
  <c r="N52" i="50" s="1"/>
  <c r="K54" i="50"/>
  <c r="K52" i="50" s="1"/>
  <c r="P52" i="50" s="1"/>
  <c r="J54" i="50"/>
  <c r="L53" i="50"/>
  <c r="K53" i="50"/>
  <c r="J53" i="50"/>
  <c r="N53" i="50" s="1"/>
  <c r="M52" i="50"/>
  <c r="J52" i="50"/>
  <c r="H52" i="50"/>
  <c r="J50" i="50"/>
  <c r="N48" i="50"/>
  <c r="M47" i="50"/>
  <c r="L47" i="50"/>
  <c r="N47" i="50" s="1"/>
  <c r="K47" i="50"/>
  <c r="J47" i="50"/>
  <c r="I47" i="50"/>
  <c r="H47" i="50"/>
  <c r="L45" i="50"/>
  <c r="L42" i="50" s="1"/>
  <c r="K45" i="50"/>
  <c r="N43" i="50"/>
  <c r="L43" i="50"/>
  <c r="K43" i="50"/>
  <c r="M42" i="50"/>
  <c r="K42" i="50"/>
  <c r="J42" i="50"/>
  <c r="I42" i="50"/>
  <c r="H42" i="50"/>
  <c r="N38" i="50"/>
  <c r="M37" i="50"/>
  <c r="L37" i="50"/>
  <c r="N37" i="50" s="1"/>
  <c r="K37" i="50"/>
  <c r="J37" i="50"/>
  <c r="I37" i="50"/>
  <c r="H37" i="50"/>
  <c r="M32" i="50"/>
  <c r="M30" i="50" s="1"/>
  <c r="L32" i="50"/>
  <c r="K32" i="50"/>
  <c r="J32" i="50"/>
  <c r="I32" i="50"/>
  <c r="H32" i="50"/>
  <c r="N28" i="50"/>
  <c r="L27" i="50"/>
  <c r="N27" i="50" s="1"/>
  <c r="K27" i="50"/>
  <c r="J27" i="50"/>
  <c r="I27" i="50"/>
  <c r="H27" i="50"/>
  <c r="M25" i="50"/>
  <c r="L25" i="50"/>
  <c r="N25" i="50" s="1"/>
  <c r="K25" i="50"/>
  <c r="M24" i="50"/>
  <c r="M23" i="50"/>
  <c r="M22" i="50" s="1"/>
  <c r="L23" i="50"/>
  <c r="L7" i="50" s="1"/>
  <c r="K23" i="50"/>
  <c r="K7" i="50" s="1"/>
  <c r="J22" i="50"/>
  <c r="N20" i="50"/>
  <c r="N18" i="50"/>
  <c r="N17" i="50"/>
  <c r="L17" i="50"/>
  <c r="K17" i="50"/>
  <c r="H17" i="50"/>
  <c r="P17" i="50" s="1"/>
  <c r="M14" i="50"/>
  <c r="I14" i="50"/>
  <c r="H14" i="50"/>
  <c r="M13" i="50"/>
  <c r="J13" i="50"/>
  <c r="J7" i="50" s="1"/>
  <c r="I13" i="50"/>
  <c r="I12" i="50" s="1"/>
  <c r="H13" i="50"/>
  <c r="H12" i="50" s="1"/>
  <c r="P12" i="50" s="1"/>
  <c r="M12" i="50"/>
  <c r="L12" i="50"/>
  <c r="K12" i="50"/>
  <c r="J12" i="50"/>
  <c r="M10" i="50"/>
  <c r="L10" i="50"/>
  <c r="K10" i="50"/>
  <c r="J10" i="50"/>
  <c r="I10" i="50"/>
  <c r="H10" i="50"/>
  <c r="K9" i="50"/>
  <c r="H9" i="50"/>
  <c r="J8" i="50"/>
  <c r="H8" i="50"/>
  <c r="O52" i="50" l="1"/>
  <c r="I57" i="50"/>
  <c r="O57" i="50" s="1"/>
  <c r="O42" i="50"/>
  <c r="N42" i="50"/>
  <c r="K6" i="50"/>
  <c r="L6" i="50"/>
  <c r="N6" i="50" s="1"/>
  <c r="N7" i="50"/>
  <c r="N57" i="50"/>
  <c r="M9" i="50"/>
  <c r="M29" i="50"/>
  <c r="M28" i="50" s="1"/>
  <c r="J6" i="50"/>
  <c r="K8" i="50"/>
  <c r="L8" i="50"/>
  <c r="N8" i="50" s="1"/>
  <c r="K22" i="50"/>
  <c r="P22" i="50" s="1"/>
  <c r="N58" i="50"/>
  <c r="L22" i="50"/>
  <c r="N23" i="50"/>
  <c r="H7" i="50"/>
  <c r="H6" i="50" s="1"/>
  <c r="I7" i="50"/>
  <c r="I9" i="50"/>
  <c r="L9" i="50"/>
  <c r="N9" i="50" s="1"/>
  <c r="N22" i="50" l="1"/>
  <c r="O22" i="50"/>
  <c r="M8" i="50"/>
  <c r="I6" i="50"/>
  <c r="M27" i="50"/>
  <c r="M7" i="50"/>
  <c r="M6" i="50" s="1"/>
  <c r="J20" i="3" l="1"/>
  <c r="J7" i="3" l="1"/>
  <c r="M10" i="46"/>
  <c r="M20" i="46"/>
  <c r="F375" i="3" l="1"/>
  <c r="F370" i="3" s="1"/>
  <c r="E375" i="3"/>
  <c r="E370" i="3" s="1"/>
  <c r="F339" i="3"/>
  <c r="E339" i="3"/>
  <c r="D176" i="3" l="1"/>
  <c r="D175" i="3"/>
  <c r="D174" i="3" s="1"/>
  <c r="E25" i="3"/>
  <c r="G24" i="46" l="1"/>
  <c r="D10" i="3" l="1"/>
  <c r="D12" i="3"/>
  <c r="F17" i="3" l="1"/>
  <c r="F16" i="3"/>
  <c r="F15" i="3"/>
  <c r="E17" i="3"/>
  <c r="E16" i="3"/>
  <c r="E15" i="3"/>
  <c r="D8" i="3"/>
  <c r="D17" i="3"/>
  <c r="D7" i="3" s="1"/>
  <c r="D16" i="3"/>
  <c r="D15" i="3"/>
  <c r="D14" i="3" s="1"/>
  <c r="D5" i="3" l="1"/>
  <c r="E197" i="3"/>
  <c r="F197" i="3"/>
  <c r="D197" i="3"/>
  <c r="F195" i="3"/>
  <c r="E195" i="3"/>
  <c r="D195" i="3"/>
  <c r="E230" i="3"/>
  <c r="D230" i="3"/>
  <c r="E232" i="3"/>
  <c r="F232" i="3"/>
  <c r="D232" i="3"/>
  <c r="D299" i="3"/>
  <c r="D284" i="3"/>
  <c r="D274" i="3"/>
  <c r="D339" i="3"/>
  <c r="F230" i="3"/>
  <c r="E324" i="3"/>
  <c r="F324" i="3"/>
  <c r="D324" i="3"/>
  <c r="G325" i="3"/>
  <c r="G326" i="3"/>
  <c r="G327" i="3"/>
  <c r="G328" i="3"/>
  <c r="G320" i="3"/>
  <c r="G322" i="3"/>
  <c r="E319" i="3"/>
  <c r="F319" i="3"/>
  <c r="D319" i="3"/>
  <c r="G319" i="3" l="1"/>
  <c r="G324" i="3"/>
  <c r="D11" i="3" l="1"/>
  <c r="E100" i="3"/>
  <c r="E21" i="3"/>
  <c r="F26" i="3"/>
  <c r="E26" i="3"/>
  <c r="E75" i="3"/>
  <c r="D9" i="3" l="1"/>
  <c r="D6" i="3"/>
  <c r="D4" i="3" s="1"/>
  <c r="E154" i="3"/>
  <c r="F154" i="3"/>
  <c r="F100" i="3" l="1"/>
  <c r="D100" i="3" l="1"/>
  <c r="G155" i="3"/>
  <c r="G156" i="3"/>
  <c r="G157" i="3"/>
  <c r="G158" i="3"/>
  <c r="D154" i="3"/>
  <c r="G154" i="3" s="1"/>
  <c r="G135" i="3"/>
  <c r="G136" i="3"/>
  <c r="G137" i="3"/>
  <c r="G138" i="3"/>
  <c r="F134" i="3"/>
  <c r="E134" i="3"/>
  <c r="D134" i="3"/>
  <c r="E124" i="3"/>
  <c r="F124" i="3"/>
  <c r="G125" i="3"/>
  <c r="G126" i="3"/>
  <c r="G127" i="3"/>
  <c r="G128" i="3"/>
  <c r="D124" i="3"/>
  <c r="G124" i="3" l="1"/>
  <c r="G134" i="3"/>
  <c r="D99" i="3" l="1"/>
  <c r="D74" i="3"/>
  <c r="D94" i="3"/>
  <c r="D19" i="3"/>
  <c r="D24" i="3"/>
  <c r="E239" i="3" l="1"/>
  <c r="F239" i="3"/>
  <c r="G239" i="3" s="1"/>
  <c r="J19" i="3"/>
  <c r="D351" i="3"/>
  <c r="D191" i="3" s="1"/>
  <c r="E351" i="3"/>
  <c r="F351" i="3"/>
  <c r="D352" i="3"/>
  <c r="D192" i="3" s="1"/>
  <c r="E352" i="3"/>
  <c r="E192" i="3" s="1"/>
  <c r="F352" i="3"/>
  <c r="F192" i="3" s="1"/>
  <c r="D353" i="3"/>
  <c r="E353" i="3"/>
  <c r="F353" i="3"/>
  <c r="D350" i="3"/>
  <c r="D190" i="3" s="1"/>
  <c r="E350" i="3"/>
  <c r="G360" i="3"/>
  <c r="G361" i="3"/>
  <c r="G362" i="3"/>
  <c r="G363" i="3"/>
  <c r="G240" i="3"/>
  <c r="G241" i="3"/>
  <c r="G242" i="3"/>
  <c r="G243" i="3"/>
  <c r="D359" i="3"/>
  <c r="D364" i="3"/>
  <c r="D334" i="3"/>
  <c r="F334" i="3"/>
  <c r="G335" i="3"/>
  <c r="G336" i="3"/>
  <c r="G337" i="3"/>
  <c r="G338" i="3"/>
  <c r="K334" i="3"/>
  <c r="K329" i="3"/>
  <c r="D329" i="3"/>
  <c r="E329" i="3"/>
  <c r="F329" i="3"/>
  <c r="G330" i="3"/>
  <c r="G331" i="3"/>
  <c r="G332" i="3"/>
  <c r="G333" i="3"/>
  <c r="E279" i="3"/>
  <c r="F279" i="3"/>
  <c r="D254" i="3"/>
  <c r="E254" i="3"/>
  <c r="F254" i="3"/>
  <c r="G353" i="3" l="1"/>
  <c r="D189" i="3"/>
  <c r="G352" i="3"/>
  <c r="D349" i="3"/>
  <c r="G351" i="3"/>
  <c r="G334" i="3"/>
  <c r="G329" i="3"/>
  <c r="G250" i="3" l="1"/>
  <c r="G251" i="3"/>
  <c r="G252" i="3"/>
  <c r="G253" i="3"/>
  <c r="E249" i="3"/>
  <c r="F249" i="3"/>
  <c r="G225" i="3"/>
  <c r="G226" i="3"/>
  <c r="G227" i="3"/>
  <c r="G228" i="3"/>
  <c r="E224" i="3"/>
  <c r="F224" i="3"/>
  <c r="G215" i="3"/>
  <c r="G216" i="3"/>
  <c r="G217" i="3"/>
  <c r="G218" i="3"/>
  <c r="F234" i="3" l="1"/>
  <c r="E234" i="3"/>
  <c r="E344" i="3"/>
  <c r="F344" i="3"/>
  <c r="D344" i="3"/>
  <c r="I9" i="48" l="1"/>
  <c r="G9" i="48"/>
  <c r="H9" i="48" s="1"/>
  <c r="I8" i="48"/>
  <c r="G8" i="48"/>
  <c r="H8" i="48" s="1"/>
  <c r="I7" i="48"/>
  <c r="G7" i="48"/>
  <c r="H7" i="48" s="1"/>
  <c r="I6" i="48"/>
  <c r="G6" i="48"/>
  <c r="H6" i="48" s="1"/>
  <c r="I24" i="46"/>
  <c r="H24" i="46"/>
  <c r="I23" i="46"/>
  <c r="H23" i="46"/>
  <c r="O20" i="46" s="1"/>
  <c r="I22" i="46"/>
  <c r="N22" i="46" s="1"/>
  <c r="H22" i="46"/>
  <c r="I21" i="46"/>
  <c r="N21" i="46" s="1"/>
  <c r="N20" i="46" s="1"/>
  <c r="H21" i="46"/>
  <c r="I19" i="46"/>
  <c r="H19" i="46"/>
  <c r="M19" i="46" s="1"/>
  <c r="I18" i="46"/>
  <c r="N18" i="46" s="1"/>
  <c r="H18" i="46"/>
  <c r="I17" i="46"/>
  <c r="H17" i="46"/>
  <c r="I16" i="46"/>
  <c r="N16" i="46" s="1"/>
  <c r="N15" i="46" s="1"/>
  <c r="H16" i="46"/>
  <c r="O15" i="46"/>
  <c r="I14" i="46"/>
  <c r="H14" i="46"/>
  <c r="I13" i="46"/>
  <c r="H13" i="46"/>
  <c r="I12" i="46"/>
  <c r="N12" i="46" s="1"/>
  <c r="H12" i="46"/>
  <c r="I11" i="46"/>
  <c r="N11" i="46" s="1"/>
  <c r="N10" i="46" s="1"/>
  <c r="H11" i="46"/>
  <c r="N9" i="46"/>
  <c r="H9" i="46"/>
  <c r="I8" i="46"/>
  <c r="N8" i="46" s="1"/>
  <c r="H8" i="46"/>
  <c r="M7" i="46" l="1"/>
  <c r="M15" i="46"/>
  <c r="P15" i="46"/>
  <c r="P20" i="46"/>
  <c r="J9" i="3" l="1"/>
  <c r="J14" i="3"/>
  <c r="J4" i="3" l="1"/>
  <c r="N5" i="3"/>
  <c r="F176" i="3"/>
  <c r="F175" i="3"/>
  <c r="F97" i="3"/>
  <c r="F160" i="3"/>
  <c r="F159" i="3" s="1"/>
  <c r="E162" i="3"/>
  <c r="E97" i="3" s="1"/>
  <c r="E160" i="3"/>
  <c r="E7" i="3" l="1"/>
  <c r="E12" i="3"/>
  <c r="G97" i="3"/>
  <c r="E159" i="3"/>
  <c r="F95" i="3"/>
  <c r="E99" i="3"/>
  <c r="F96" i="3"/>
  <c r="F99" i="3"/>
  <c r="E229" i="3" l="1"/>
  <c r="F94" i="3"/>
  <c r="F229" i="3"/>
  <c r="E194" i="3"/>
  <c r="F194" i="3"/>
  <c r="J96" i="3"/>
  <c r="J95" i="3"/>
  <c r="F129" i="3"/>
  <c r="E129" i="3"/>
  <c r="J97" i="3" l="1"/>
  <c r="J94" i="3"/>
  <c r="J191" i="3"/>
  <c r="J6" i="3" s="1"/>
  <c r="J190" i="3"/>
  <c r="J189" i="3"/>
  <c r="F169" i="3"/>
  <c r="E169" i="3"/>
  <c r="F164" i="3"/>
  <c r="E164" i="3"/>
  <c r="F23" i="3" l="1"/>
  <c r="F22" i="3"/>
  <c r="F12" i="3" s="1"/>
  <c r="E20" i="3"/>
  <c r="F25" i="3" l="1"/>
  <c r="F24" i="3" s="1"/>
  <c r="F21" i="3"/>
  <c r="E24" i="3"/>
  <c r="F11" i="3" l="1"/>
  <c r="F6" i="3" s="1"/>
  <c r="F309" i="3"/>
  <c r="E309" i="3"/>
  <c r="F304" i="3"/>
  <c r="E304" i="3"/>
  <c r="F299" i="3"/>
  <c r="E299" i="3"/>
  <c r="F294" i="3"/>
  <c r="E294" i="3"/>
  <c r="F289" i="3"/>
  <c r="E289" i="3"/>
  <c r="F284" i="3"/>
  <c r="E284" i="3"/>
  <c r="F269" i="3"/>
  <c r="E269" i="3"/>
  <c r="F214" i="3"/>
  <c r="G214" i="3" s="1"/>
  <c r="E214" i="3"/>
  <c r="F259" i="3"/>
  <c r="E259" i="3"/>
  <c r="F350" i="3" l="1"/>
  <c r="G365" i="3"/>
  <c r="G350" i="3" l="1"/>
  <c r="F190" i="3"/>
  <c r="F191" i="3"/>
  <c r="F244" i="3"/>
  <c r="E244" i="3"/>
  <c r="G130" i="3"/>
  <c r="G131" i="3"/>
  <c r="G132" i="3"/>
  <c r="G133" i="3"/>
  <c r="G139" i="3"/>
  <c r="E76" i="3"/>
  <c r="F76" i="3"/>
  <c r="F75" i="3"/>
  <c r="F39" i="3"/>
  <c r="E39" i="3"/>
  <c r="K224" i="3"/>
  <c r="F189" i="3" l="1"/>
  <c r="E74" i="3"/>
  <c r="F74" i="3"/>
  <c r="G200" i="3"/>
  <c r="G202" i="3"/>
  <c r="F199" i="3"/>
  <c r="G199" i="3" s="1"/>
  <c r="E199" i="3"/>
  <c r="E19" i="3" l="1"/>
  <c r="F20" i="3"/>
  <c r="F10" i="3" s="1"/>
  <c r="F5" i="3" s="1"/>
  <c r="E191" i="3"/>
  <c r="E190" i="3"/>
  <c r="E189" i="3" s="1"/>
  <c r="F359" i="3"/>
  <c r="E359" i="3"/>
  <c r="F364" i="3"/>
  <c r="E364" i="3"/>
  <c r="F19" i="3" l="1"/>
  <c r="E349" i="3"/>
  <c r="F349" i="3"/>
  <c r="F379" i="3"/>
  <c r="E379" i="3"/>
  <c r="F374" i="3"/>
  <c r="E374" i="3"/>
  <c r="F369" i="3"/>
  <c r="E369" i="3"/>
  <c r="G355" i="3"/>
  <c r="G356" i="3"/>
  <c r="G357" i="3"/>
  <c r="G358" i="3"/>
  <c r="F354" i="3"/>
  <c r="G354" i="3" s="1"/>
  <c r="E354" i="3"/>
  <c r="J343" i="3"/>
  <c r="E175" i="3"/>
  <c r="E176" i="3"/>
  <c r="E184" i="3"/>
  <c r="G185" i="3"/>
  <c r="G186" i="3"/>
  <c r="G187" i="3"/>
  <c r="G188" i="3"/>
  <c r="F184" i="3"/>
  <c r="G184" i="3" s="1"/>
  <c r="F179" i="3"/>
  <c r="E179" i="3"/>
  <c r="G150" i="3"/>
  <c r="G151" i="3"/>
  <c r="G152" i="3"/>
  <c r="G153" i="3"/>
  <c r="G149" i="3"/>
  <c r="G145" i="3"/>
  <c r="G146" i="3"/>
  <c r="G147" i="3"/>
  <c r="G148" i="3"/>
  <c r="G144" i="3"/>
  <c r="G140" i="3"/>
  <c r="G141" i="3"/>
  <c r="G142" i="3"/>
  <c r="G143" i="3"/>
  <c r="F119" i="3"/>
  <c r="E119" i="3"/>
  <c r="F114" i="3"/>
  <c r="E114" i="3"/>
  <c r="F109" i="3"/>
  <c r="E109" i="3"/>
  <c r="G105" i="3"/>
  <c r="G106" i="3"/>
  <c r="G107" i="3"/>
  <c r="G108" i="3"/>
  <c r="F104" i="3"/>
  <c r="G104" i="3" s="1"/>
  <c r="E104" i="3"/>
  <c r="E95" i="3" l="1"/>
  <c r="E10" i="3" s="1"/>
  <c r="F9" i="3"/>
  <c r="E174" i="3"/>
  <c r="E96" i="3"/>
  <c r="E11" i="3" s="1"/>
  <c r="F174" i="3"/>
  <c r="F89" i="3"/>
  <c r="E89" i="3"/>
  <c r="F84" i="3"/>
  <c r="E84" i="3"/>
  <c r="F79" i="3"/>
  <c r="E79" i="3"/>
  <c r="G71" i="3"/>
  <c r="G72" i="3"/>
  <c r="G73" i="3"/>
  <c r="G70" i="3"/>
  <c r="G69" i="3"/>
  <c r="E69" i="3"/>
  <c r="G65" i="3"/>
  <c r="G66" i="3"/>
  <c r="G67" i="3"/>
  <c r="G68" i="3"/>
  <c r="F64" i="3"/>
  <c r="G64" i="3" s="1"/>
  <c r="E64" i="3"/>
  <c r="G55" i="3"/>
  <c r="G56" i="3"/>
  <c r="G57" i="3"/>
  <c r="G58" i="3"/>
  <c r="F54" i="3"/>
  <c r="G54" i="3" s="1"/>
  <c r="E54" i="3"/>
  <c r="F44" i="3"/>
  <c r="E44" i="3"/>
  <c r="E6" i="3" l="1"/>
  <c r="E5" i="3"/>
  <c r="E94" i="3"/>
  <c r="D309" i="3"/>
  <c r="D304" i="3"/>
  <c r="D249" i="3"/>
  <c r="G249" i="3" s="1"/>
  <c r="D229" i="3"/>
  <c r="E9" i="3" l="1"/>
  <c r="D224" i="3"/>
  <c r="G224" i="3" s="1"/>
  <c r="D219" i="3" l="1"/>
  <c r="D194" i="3" l="1"/>
  <c r="G39" i="3" l="1"/>
  <c r="G40" i="3"/>
  <c r="G44" i="3"/>
  <c r="G45" i="3"/>
  <c r="G30" i="3"/>
  <c r="G345" i="3"/>
  <c r="G344" i="3"/>
  <c r="G315" i="3"/>
  <c r="G314" i="3"/>
  <c r="G310" i="3"/>
  <c r="G309" i="3"/>
  <c r="G307" i="3"/>
  <c r="G305" i="3"/>
  <c r="G304" i="3"/>
  <c r="G302" i="3"/>
  <c r="G300" i="3"/>
  <c r="G299" i="3"/>
  <c r="G297" i="3"/>
  <c r="G295" i="3"/>
  <c r="G294" i="3"/>
  <c r="G292" i="3"/>
  <c r="G290" i="3"/>
  <c r="G289" i="3"/>
  <c r="G287" i="3"/>
  <c r="G285" i="3"/>
  <c r="G284" i="3"/>
  <c r="G129" i="3"/>
  <c r="K229" i="3" l="1"/>
  <c r="G179" i="3" l="1"/>
  <c r="G16" i="3" l="1"/>
  <c r="J23" i="3"/>
  <c r="G176" i="3"/>
  <c r="G340" i="3" l="1"/>
  <c r="G237" i="3" l="1"/>
  <c r="G265" i="3"/>
  <c r="G264" i="3" l="1"/>
  <c r="G275" i="3" l="1"/>
  <c r="G277" i="3"/>
  <c r="G366" i="3"/>
  <c r="G367" i="3"/>
  <c r="G375" i="3" l="1"/>
  <c r="J28" i="3"/>
  <c r="G282" i="3" l="1"/>
  <c r="G280" i="3"/>
  <c r="G279" i="3"/>
  <c r="G174" i="3" l="1"/>
  <c r="G364" i="3"/>
  <c r="G162" i="3" l="1"/>
  <c r="G76" i="3" l="1"/>
  <c r="G341" i="3"/>
  <c r="G339" i="3"/>
  <c r="G160" i="3"/>
  <c r="G20" i="3" l="1"/>
  <c r="G262" i="3"/>
  <c r="G172" i="3"/>
  <c r="J18" i="3"/>
  <c r="G165" i="3" l="1"/>
  <c r="G167" i="3"/>
  <c r="J13" i="3"/>
  <c r="J103" i="3"/>
  <c r="J377" i="3"/>
  <c r="J378" i="3"/>
  <c r="J178" i="3"/>
  <c r="J198" i="3"/>
  <c r="G175" i="3"/>
  <c r="G94" i="3" l="1"/>
  <c r="G380" i="3" l="1"/>
  <c r="G379" i="3"/>
  <c r="G170" i="3"/>
  <c r="G169" i="3"/>
  <c r="G84" i="3" l="1"/>
  <c r="G95" i="3"/>
  <c r="G89" i="3"/>
  <c r="G85" i="3"/>
  <c r="G75" i="3"/>
  <c r="G79" i="3"/>
  <c r="G74" i="3"/>
  <c r="G35" i="3"/>
  <c r="G34" i="3"/>
  <c r="G29" i="3"/>
  <c r="J78" i="3" l="1"/>
  <c r="G270" i="3" l="1"/>
  <c r="G260" i="3"/>
  <c r="G255" i="3"/>
  <c r="G274" i="3"/>
  <c r="G232" i="3" l="1"/>
  <c r="F277" i="43" l="1"/>
  <c r="E277" i="43" s="1"/>
  <c r="E276" i="43"/>
  <c r="I275" i="43"/>
  <c r="H275" i="43"/>
  <c r="G275" i="43"/>
  <c r="I274" i="43"/>
  <c r="H274" i="43"/>
  <c r="G274" i="43"/>
  <c r="I273" i="43"/>
  <c r="H273" i="43"/>
  <c r="G273" i="43"/>
  <c r="F273" i="43"/>
  <c r="I269" i="43"/>
  <c r="H269" i="43"/>
  <c r="G269" i="43"/>
  <c r="F268" i="43"/>
  <c r="E268" i="43" s="1"/>
  <c r="E267" i="43"/>
  <c r="I266" i="43"/>
  <c r="H266" i="43"/>
  <c r="G266" i="43"/>
  <c r="E265" i="43"/>
  <c r="E264" i="43"/>
  <c r="I263" i="43"/>
  <c r="H263" i="43"/>
  <c r="G263" i="43"/>
  <c r="F263" i="43"/>
  <c r="E262" i="43"/>
  <c r="E261" i="43"/>
  <c r="I260" i="43"/>
  <c r="H260" i="43"/>
  <c r="G260" i="43"/>
  <c r="F260" i="43"/>
  <c r="E259" i="43"/>
  <c r="E258" i="43"/>
  <c r="I257" i="43"/>
  <c r="H257" i="43"/>
  <c r="G257" i="43"/>
  <c r="F257" i="43"/>
  <c r="E256" i="43"/>
  <c r="E255" i="43"/>
  <c r="I254" i="43"/>
  <c r="H254" i="43"/>
  <c r="G254" i="43"/>
  <c r="F254" i="43"/>
  <c r="E253" i="43"/>
  <c r="E252" i="43"/>
  <c r="I251" i="43"/>
  <c r="H251" i="43"/>
  <c r="G251" i="43"/>
  <c r="F251" i="43"/>
  <c r="E250" i="43"/>
  <c r="E249" i="43"/>
  <c r="I248" i="43"/>
  <c r="H248" i="43"/>
  <c r="G248" i="43"/>
  <c r="F248" i="43"/>
  <c r="F247" i="43"/>
  <c r="F245" i="43" s="1"/>
  <c r="E246" i="43"/>
  <c r="I245" i="43"/>
  <c r="H245" i="43"/>
  <c r="G245" i="43"/>
  <c r="E244" i="43"/>
  <c r="E243" i="43"/>
  <c r="I242" i="43"/>
  <c r="H242" i="43"/>
  <c r="G242" i="43"/>
  <c r="F242" i="43"/>
  <c r="E241" i="43"/>
  <c r="E240" i="43"/>
  <c r="I239" i="43"/>
  <c r="H239" i="43"/>
  <c r="G239" i="43"/>
  <c r="F239" i="43"/>
  <c r="E238" i="43"/>
  <c r="E237" i="43"/>
  <c r="I236" i="43"/>
  <c r="H236" i="43"/>
  <c r="G236" i="43"/>
  <c r="F236" i="43"/>
  <c r="E235" i="43"/>
  <c r="E234" i="43"/>
  <c r="I233" i="43"/>
  <c r="H233" i="43"/>
  <c r="G233" i="43"/>
  <c r="F233" i="43"/>
  <c r="I232" i="43"/>
  <c r="H232" i="43"/>
  <c r="G232" i="43"/>
  <c r="I231" i="43"/>
  <c r="H231" i="43"/>
  <c r="G231" i="43"/>
  <c r="F231" i="43"/>
  <c r="E229" i="43"/>
  <c r="E228" i="43"/>
  <c r="I227" i="43"/>
  <c r="H227" i="43"/>
  <c r="G227" i="43"/>
  <c r="F227" i="43"/>
  <c r="I224" i="43"/>
  <c r="H224" i="43"/>
  <c r="G224" i="43"/>
  <c r="F224" i="43"/>
  <c r="E223" i="43"/>
  <c r="E222" i="43"/>
  <c r="I221" i="43"/>
  <c r="H221" i="43"/>
  <c r="G221" i="43"/>
  <c r="F221" i="43"/>
  <c r="E220" i="43"/>
  <c r="E219" i="43"/>
  <c r="I218" i="43"/>
  <c r="H218" i="43"/>
  <c r="G218" i="43"/>
  <c r="F218" i="43"/>
  <c r="E217" i="43"/>
  <c r="E216" i="43"/>
  <c r="I215" i="43"/>
  <c r="H215" i="43"/>
  <c r="G215" i="43"/>
  <c r="F215" i="43"/>
  <c r="E214" i="43"/>
  <c r="E213" i="43"/>
  <c r="I212" i="43"/>
  <c r="H212" i="43"/>
  <c r="G212" i="43"/>
  <c r="F212" i="43"/>
  <c r="E211" i="43"/>
  <c r="E210" i="43"/>
  <c r="I209" i="43"/>
  <c r="H209" i="43"/>
  <c r="G209" i="43"/>
  <c r="F209" i="43"/>
  <c r="E208" i="43"/>
  <c r="E207" i="43"/>
  <c r="I206" i="43"/>
  <c r="H206" i="43"/>
  <c r="G206" i="43"/>
  <c r="F206" i="43"/>
  <c r="E205" i="43"/>
  <c r="E204" i="43"/>
  <c r="I203" i="43"/>
  <c r="H203" i="43"/>
  <c r="G203" i="43"/>
  <c r="F203" i="43"/>
  <c r="F202" i="43"/>
  <c r="F200" i="43" s="1"/>
  <c r="E201" i="43"/>
  <c r="I200" i="43"/>
  <c r="H200" i="43"/>
  <c r="G200" i="43"/>
  <c r="E199" i="43"/>
  <c r="E198" i="43"/>
  <c r="I197" i="43"/>
  <c r="H197" i="43"/>
  <c r="G197" i="43"/>
  <c r="F197" i="43"/>
  <c r="E196" i="43"/>
  <c r="E195" i="43"/>
  <c r="I194" i="43"/>
  <c r="H194" i="43"/>
  <c r="G194" i="43"/>
  <c r="F194" i="43"/>
  <c r="E193" i="43"/>
  <c r="E192" i="43"/>
  <c r="I191" i="43"/>
  <c r="H191" i="43"/>
  <c r="G191" i="43"/>
  <c r="F191" i="43"/>
  <c r="E190" i="43"/>
  <c r="E189" i="43"/>
  <c r="I188" i="43"/>
  <c r="H188" i="43"/>
  <c r="G188" i="43"/>
  <c r="F188" i="43"/>
  <c r="E187" i="43"/>
  <c r="E186" i="43"/>
  <c r="I185" i="43"/>
  <c r="H185" i="43"/>
  <c r="G185" i="43"/>
  <c r="F185" i="43"/>
  <c r="E184" i="43"/>
  <c r="E183" i="43"/>
  <c r="I182" i="43"/>
  <c r="H182" i="43"/>
  <c r="G182" i="43"/>
  <c r="F182" i="43"/>
  <c r="E181" i="43"/>
  <c r="E180" i="43"/>
  <c r="I179" i="43"/>
  <c r="H179" i="43"/>
  <c r="G179" i="43"/>
  <c r="F179" i="43"/>
  <c r="E178" i="43"/>
  <c r="E177" i="43"/>
  <c r="I176" i="43"/>
  <c r="H176" i="43"/>
  <c r="G176" i="43"/>
  <c r="F176" i="43"/>
  <c r="E175" i="43"/>
  <c r="E174" i="43"/>
  <c r="I173" i="43"/>
  <c r="H173" i="43"/>
  <c r="G173" i="43"/>
  <c r="F173" i="43"/>
  <c r="E172" i="43"/>
  <c r="E171" i="43"/>
  <c r="I170" i="43"/>
  <c r="H170" i="43"/>
  <c r="G170" i="43"/>
  <c r="F170" i="43"/>
  <c r="I169" i="43"/>
  <c r="H169" i="43"/>
  <c r="G169" i="43"/>
  <c r="I168" i="43"/>
  <c r="H168" i="43"/>
  <c r="G168" i="43"/>
  <c r="F168" i="43"/>
  <c r="E166" i="43"/>
  <c r="E165" i="43"/>
  <c r="I164" i="43"/>
  <c r="H164" i="43"/>
  <c r="G164" i="43"/>
  <c r="F164" i="43"/>
  <c r="E163" i="43"/>
  <c r="E162" i="43"/>
  <c r="I161" i="43"/>
  <c r="H161" i="43"/>
  <c r="G161" i="43"/>
  <c r="F161" i="43"/>
  <c r="E160" i="43"/>
  <c r="E159" i="43"/>
  <c r="I158" i="43"/>
  <c r="H158" i="43"/>
  <c r="G158" i="43"/>
  <c r="F158" i="43"/>
  <c r="E157" i="43"/>
  <c r="E156" i="43"/>
  <c r="I155" i="43"/>
  <c r="H155" i="43"/>
  <c r="G155" i="43"/>
  <c r="F155" i="43"/>
  <c r="E154" i="43"/>
  <c r="E153" i="43"/>
  <c r="I152" i="43"/>
  <c r="H152" i="43"/>
  <c r="G152" i="43"/>
  <c r="F152" i="43"/>
  <c r="E151" i="43"/>
  <c r="E150" i="43"/>
  <c r="I149" i="43"/>
  <c r="H149" i="43"/>
  <c r="G149" i="43"/>
  <c r="F149" i="43"/>
  <c r="E148" i="43"/>
  <c r="E147" i="43"/>
  <c r="I146" i="43"/>
  <c r="H146" i="43"/>
  <c r="G146" i="43"/>
  <c r="F146" i="43"/>
  <c r="E145" i="43"/>
  <c r="E144" i="43"/>
  <c r="I143" i="43"/>
  <c r="H143" i="43"/>
  <c r="G143" i="43"/>
  <c r="F143" i="43"/>
  <c r="E142" i="43"/>
  <c r="E141" i="43"/>
  <c r="I140" i="43"/>
  <c r="H140" i="43"/>
  <c r="G140" i="43"/>
  <c r="F140" i="43"/>
  <c r="E139" i="43"/>
  <c r="E138" i="43"/>
  <c r="I137" i="43"/>
  <c r="H137" i="43"/>
  <c r="G137" i="43"/>
  <c r="F137" i="43"/>
  <c r="E136" i="43"/>
  <c r="E135" i="43"/>
  <c r="I134" i="43"/>
  <c r="H134" i="43"/>
  <c r="G134" i="43"/>
  <c r="F134" i="43"/>
  <c r="E133" i="43"/>
  <c r="E132" i="43"/>
  <c r="I131" i="43"/>
  <c r="H131" i="43"/>
  <c r="G131" i="43"/>
  <c r="F131" i="43"/>
  <c r="E130" i="43"/>
  <c r="E129" i="43"/>
  <c r="I128" i="43"/>
  <c r="H128" i="43"/>
  <c r="G128" i="43"/>
  <c r="F128" i="43"/>
  <c r="E127" i="43"/>
  <c r="E126" i="43"/>
  <c r="I125" i="43"/>
  <c r="H125" i="43"/>
  <c r="G125" i="43"/>
  <c r="F125" i="43"/>
  <c r="E124" i="43"/>
  <c r="F123" i="43"/>
  <c r="F12" i="43" s="1"/>
  <c r="I122" i="43"/>
  <c r="H122" i="43"/>
  <c r="G122" i="43"/>
  <c r="I121" i="43"/>
  <c r="H121" i="43"/>
  <c r="G121" i="43"/>
  <c r="F121" i="43"/>
  <c r="I120" i="43"/>
  <c r="I117" i="43" s="1"/>
  <c r="H120" i="43"/>
  <c r="G120" i="43"/>
  <c r="F115" i="43"/>
  <c r="E115" i="43" s="1"/>
  <c r="E114" i="43"/>
  <c r="I113" i="43"/>
  <c r="H113" i="43"/>
  <c r="G113" i="43"/>
  <c r="E112" i="43"/>
  <c r="E111" i="43"/>
  <c r="I110" i="43"/>
  <c r="H110" i="43"/>
  <c r="G110" i="43"/>
  <c r="F110" i="43"/>
  <c r="E109" i="43"/>
  <c r="E108" i="43"/>
  <c r="I107" i="43"/>
  <c r="H107" i="43"/>
  <c r="G107" i="43"/>
  <c r="F107" i="43"/>
  <c r="E106" i="43"/>
  <c r="E105" i="43"/>
  <c r="I104" i="43"/>
  <c r="H104" i="43"/>
  <c r="G104" i="43"/>
  <c r="F104" i="43"/>
  <c r="I103" i="43"/>
  <c r="H103" i="43"/>
  <c r="G103" i="43"/>
  <c r="I102" i="43"/>
  <c r="H102" i="43"/>
  <c r="G102" i="43"/>
  <c r="F102" i="43"/>
  <c r="E100" i="43"/>
  <c r="E99" i="43"/>
  <c r="I98" i="43"/>
  <c r="H98" i="43"/>
  <c r="G98" i="43"/>
  <c r="F98" i="43"/>
  <c r="I97" i="43"/>
  <c r="H97" i="43"/>
  <c r="G97" i="43"/>
  <c r="F97" i="43"/>
  <c r="I96" i="43"/>
  <c r="H96" i="43"/>
  <c r="G96" i="43"/>
  <c r="F96" i="43"/>
  <c r="F95" i="43" s="1"/>
  <c r="E94" i="43"/>
  <c r="E93" i="43"/>
  <c r="I92" i="43"/>
  <c r="H92" i="43"/>
  <c r="G92" i="43"/>
  <c r="F92" i="43"/>
  <c r="E91" i="43"/>
  <c r="E90" i="43"/>
  <c r="I89" i="43"/>
  <c r="H89" i="43"/>
  <c r="G89" i="43"/>
  <c r="F89" i="43"/>
  <c r="E88" i="43"/>
  <c r="E87" i="43"/>
  <c r="I86" i="43"/>
  <c r="H86" i="43"/>
  <c r="G86" i="43"/>
  <c r="F86" i="43"/>
  <c r="F85" i="43"/>
  <c r="F83" i="43" s="1"/>
  <c r="E84" i="43"/>
  <c r="I83" i="43"/>
  <c r="H83" i="43"/>
  <c r="G83" i="43"/>
  <c r="I82" i="43"/>
  <c r="H82" i="43"/>
  <c r="G82" i="43"/>
  <c r="I81" i="43"/>
  <c r="H81" i="43"/>
  <c r="G81" i="43"/>
  <c r="F81" i="43"/>
  <c r="E79" i="43"/>
  <c r="E78" i="43"/>
  <c r="I77" i="43"/>
  <c r="H77" i="43"/>
  <c r="G77" i="43"/>
  <c r="F77" i="43"/>
  <c r="E76" i="43"/>
  <c r="E75" i="43"/>
  <c r="I74" i="43"/>
  <c r="H74" i="43"/>
  <c r="G74" i="43"/>
  <c r="F74" i="43"/>
  <c r="E73" i="43"/>
  <c r="E72" i="43"/>
  <c r="I71" i="43"/>
  <c r="H71" i="43"/>
  <c r="G71" i="43"/>
  <c r="F71" i="43"/>
  <c r="E70" i="43"/>
  <c r="E69" i="43"/>
  <c r="I68" i="43"/>
  <c r="H68" i="43"/>
  <c r="G68" i="43"/>
  <c r="F68" i="43"/>
  <c r="E67" i="43"/>
  <c r="E66" i="43"/>
  <c r="I65" i="43"/>
  <c r="H65" i="43"/>
  <c r="G65" i="43"/>
  <c r="F65" i="43"/>
  <c r="E64" i="43"/>
  <c r="E63" i="43"/>
  <c r="I62" i="43"/>
  <c r="H62" i="43"/>
  <c r="G62" i="43"/>
  <c r="F62" i="43"/>
  <c r="E61" i="43"/>
  <c r="E60" i="43"/>
  <c r="I59" i="43"/>
  <c r="H59" i="43"/>
  <c r="G59" i="43"/>
  <c r="F59" i="43"/>
  <c r="I58" i="43"/>
  <c r="H58" i="43"/>
  <c r="G58" i="43"/>
  <c r="F58" i="43"/>
  <c r="I57" i="43"/>
  <c r="H57" i="43"/>
  <c r="G57" i="43"/>
  <c r="F57" i="43"/>
  <c r="F52" i="43"/>
  <c r="F50" i="43" s="1"/>
  <c r="E51" i="43"/>
  <c r="I50" i="43"/>
  <c r="H50" i="43"/>
  <c r="G50" i="43"/>
  <c r="E49" i="43"/>
  <c r="E48" i="43"/>
  <c r="I47" i="43"/>
  <c r="H47" i="43"/>
  <c r="G47" i="43"/>
  <c r="F47" i="43"/>
  <c r="F46" i="43"/>
  <c r="F44" i="43" s="1"/>
  <c r="E45" i="43"/>
  <c r="I44" i="43"/>
  <c r="H44" i="43"/>
  <c r="G44" i="43"/>
  <c r="E43" i="43"/>
  <c r="E42" i="43"/>
  <c r="I41" i="43"/>
  <c r="H41" i="43"/>
  <c r="G41" i="43"/>
  <c r="F41" i="43"/>
  <c r="E40" i="43"/>
  <c r="E39" i="43"/>
  <c r="I38" i="43"/>
  <c r="H38" i="43"/>
  <c r="G38" i="43"/>
  <c r="F38" i="43"/>
  <c r="E37" i="43"/>
  <c r="E36" i="43"/>
  <c r="I35" i="43"/>
  <c r="H35" i="43"/>
  <c r="G35" i="43"/>
  <c r="F35" i="43"/>
  <c r="I34" i="43"/>
  <c r="H34" i="43"/>
  <c r="G34" i="43"/>
  <c r="I33" i="43"/>
  <c r="H33" i="43"/>
  <c r="G33" i="43"/>
  <c r="F33" i="43"/>
  <c r="E31" i="43"/>
  <c r="E30" i="43"/>
  <c r="I29" i="43"/>
  <c r="H29" i="43"/>
  <c r="G29" i="43"/>
  <c r="F29" i="43"/>
  <c r="I28" i="43"/>
  <c r="H28" i="43"/>
  <c r="G28" i="43"/>
  <c r="F28" i="43"/>
  <c r="I27" i="43"/>
  <c r="I26" i="43" s="1"/>
  <c r="H27" i="43"/>
  <c r="H26" i="43" s="1"/>
  <c r="G27" i="43"/>
  <c r="G26" i="43" s="1"/>
  <c r="F27" i="43"/>
  <c r="F26" i="43" s="1"/>
  <c r="E25" i="43"/>
  <c r="E24" i="43"/>
  <c r="I23" i="43"/>
  <c r="H23" i="43"/>
  <c r="G23" i="43"/>
  <c r="F23" i="43"/>
  <c r="E22" i="43"/>
  <c r="E21" i="43"/>
  <c r="I20" i="43"/>
  <c r="H20" i="43"/>
  <c r="G20" i="43"/>
  <c r="F20" i="43"/>
  <c r="I19" i="43"/>
  <c r="I17" i="43" s="1"/>
  <c r="H19" i="43"/>
  <c r="G19" i="43"/>
  <c r="F19" i="43"/>
  <c r="I18" i="43"/>
  <c r="H18" i="43"/>
  <c r="G18" i="43"/>
  <c r="G17" i="43" s="1"/>
  <c r="F18" i="43"/>
  <c r="F17" i="43" s="1"/>
  <c r="I13" i="43"/>
  <c r="H13" i="43"/>
  <c r="G13" i="43"/>
  <c r="I12" i="43"/>
  <c r="H12" i="43"/>
  <c r="G12" i="43"/>
  <c r="E137" i="43" l="1"/>
  <c r="I56" i="43"/>
  <c r="G119" i="43"/>
  <c r="E85" i="43"/>
  <c r="E107" i="43"/>
  <c r="H101" i="43"/>
  <c r="I80" i="43"/>
  <c r="G101" i="43"/>
  <c r="E46" i="43"/>
  <c r="H167" i="43"/>
  <c r="G80" i="43"/>
  <c r="I119" i="43"/>
  <c r="G167" i="43"/>
  <c r="E215" i="43"/>
  <c r="I11" i="43"/>
  <c r="H16" i="43"/>
  <c r="E23" i="43"/>
  <c r="E28" i="43"/>
  <c r="E29" i="43"/>
  <c r="H32" i="43"/>
  <c r="H80" i="43"/>
  <c r="E83" i="43"/>
  <c r="E12" i="43"/>
  <c r="E161" i="43"/>
  <c r="E168" i="43"/>
  <c r="H118" i="43"/>
  <c r="E173" i="43"/>
  <c r="E182" i="43"/>
  <c r="E191" i="43"/>
  <c r="H272" i="43"/>
  <c r="E41" i="43"/>
  <c r="I95" i="43"/>
  <c r="E158" i="43"/>
  <c r="E212" i="43"/>
  <c r="F13" i="43"/>
  <c r="E13" i="43" s="1"/>
  <c r="G16" i="43"/>
  <c r="I55" i="43"/>
  <c r="E140" i="43"/>
  <c r="G230" i="43"/>
  <c r="E242" i="43"/>
  <c r="G11" i="43"/>
  <c r="E18" i="43"/>
  <c r="I16" i="43"/>
  <c r="E47" i="43"/>
  <c r="G55" i="43"/>
  <c r="I118" i="43"/>
  <c r="I116" i="43" s="1"/>
  <c r="E125" i="43"/>
  <c r="E164" i="43"/>
  <c r="E188" i="43"/>
  <c r="E200" i="43"/>
  <c r="E218" i="43"/>
  <c r="E221" i="43"/>
  <c r="E224" i="43"/>
  <c r="H230" i="43"/>
  <c r="H11" i="43"/>
  <c r="E20" i="43"/>
  <c r="E62" i="43"/>
  <c r="E71" i="43"/>
  <c r="E74" i="43"/>
  <c r="F82" i="43"/>
  <c r="E82" i="43" s="1"/>
  <c r="H95" i="43"/>
  <c r="F120" i="43"/>
  <c r="F117" i="43" s="1"/>
  <c r="F122" i="43"/>
  <c r="E122" i="43" s="1"/>
  <c r="E123" i="43"/>
  <c r="E149" i="43"/>
  <c r="E185" i="43"/>
  <c r="I230" i="43"/>
  <c r="E247" i="43"/>
  <c r="E251" i="43"/>
  <c r="E257" i="43"/>
  <c r="E263" i="43"/>
  <c r="I32" i="43"/>
  <c r="E128" i="43"/>
  <c r="E35" i="43"/>
  <c r="F169" i="43"/>
  <c r="E176" i="43"/>
  <c r="E203" i="43"/>
  <c r="E254" i="43"/>
  <c r="F266" i="43"/>
  <c r="E266" i="43" s="1"/>
  <c r="E273" i="43"/>
  <c r="F275" i="43"/>
  <c r="E275" i="43" s="1"/>
  <c r="E33" i="43"/>
  <c r="H55" i="43"/>
  <c r="H117" i="43"/>
  <c r="E227" i="43"/>
  <c r="F232" i="43"/>
  <c r="E26" i="43"/>
  <c r="E152" i="43"/>
  <c r="E96" i="43"/>
  <c r="E245" i="43"/>
  <c r="I272" i="43"/>
  <c r="H15" i="43"/>
  <c r="H14" i="43" s="1"/>
  <c r="F56" i="43"/>
  <c r="E146" i="43"/>
  <c r="E236" i="43"/>
  <c r="E239" i="43"/>
  <c r="E194" i="43"/>
  <c r="E65" i="43"/>
  <c r="G15" i="43"/>
  <c r="E98" i="43"/>
  <c r="E134" i="43"/>
  <c r="E50" i="43"/>
  <c r="G54" i="43"/>
  <c r="E77" i="43"/>
  <c r="E104" i="43"/>
  <c r="G117" i="43"/>
  <c r="F270" i="43"/>
  <c r="E270" i="43" s="1"/>
  <c r="I15" i="43"/>
  <c r="I14" i="43" s="1"/>
  <c r="E38" i="43"/>
  <c r="E59" i="43"/>
  <c r="E89" i="43"/>
  <c r="E92" i="43"/>
  <c r="I101" i="43"/>
  <c r="F113" i="43"/>
  <c r="E113" i="43" s="1"/>
  <c r="E131" i="43"/>
  <c r="E197" i="43"/>
  <c r="G32" i="43"/>
  <c r="G56" i="43"/>
  <c r="F103" i="43"/>
  <c r="E103" i="43" s="1"/>
  <c r="G118" i="43"/>
  <c r="E143" i="43"/>
  <c r="E155" i="43"/>
  <c r="E209" i="43"/>
  <c r="E248" i="43"/>
  <c r="E260" i="43"/>
  <c r="F274" i="43"/>
  <c r="E44" i="43"/>
  <c r="H56" i="43"/>
  <c r="E68" i="43"/>
  <c r="E86" i="43"/>
  <c r="E97" i="43"/>
  <c r="E110" i="43"/>
  <c r="H119" i="43"/>
  <c r="I167" i="43"/>
  <c r="E170" i="43"/>
  <c r="E179" i="43"/>
  <c r="E202" i="43"/>
  <c r="E206" i="43"/>
  <c r="E233" i="43"/>
  <c r="G272" i="43"/>
  <c r="E19" i="43"/>
  <c r="E27" i="43"/>
  <c r="E57" i="43"/>
  <c r="E81" i="43"/>
  <c r="E231" i="43"/>
  <c r="H17" i="43"/>
  <c r="E17" i="43" s="1"/>
  <c r="G95" i="43"/>
  <c r="E52" i="43"/>
  <c r="F54" i="43"/>
  <c r="E102" i="43"/>
  <c r="E121" i="43"/>
  <c r="F34" i="43"/>
  <c r="H54" i="43"/>
  <c r="F15" i="43"/>
  <c r="I54" i="43"/>
  <c r="E58" i="43"/>
  <c r="H7" i="43" l="1"/>
  <c r="H10" i="43" s="1"/>
  <c r="G14" i="43"/>
  <c r="I7" i="43"/>
  <c r="I10" i="43" s="1"/>
  <c r="E120" i="43"/>
  <c r="F11" i="43"/>
  <c r="E11" i="43" s="1"/>
  <c r="F119" i="43"/>
  <c r="E119" i="43" s="1"/>
  <c r="H116" i="43"/>
  <c r="F80" i="43"/>
  <c r="E80" i="43" s="1"/>
  <c r="E95" i="43"/>
  <c r="G116" i="43"/>
  <c r="H53" i="43"/>
  <c r="G53" i="43"/>
  <c r="E117" i="43"/>
  <c r="E169" i="43"/>
  <c r="F167" i="43"/>
  <c r="E167" i="43" s="1"/>
  <c r="E274" i="43"/>
  <c r="F271" i="43"/>
  <c r="E271" i="43" s="1"/>
  <c r="E56" i="43"/>
  <c r="F55" i="43"/>
  <c r="E55" i="43" s="1"/>
  <c r="G6" i="43"/>
  <c r="G9" i="43" s="1"/>
  <c r="F118" i="43"/>
  <c r="F272" i="43"/>
  <c r="E272" i="43" s="1"/>
  <c r="F101" i="43"/>
  <c r="E101" i="43" s="1"/>
  <c r="E232" i="43"/>
  <c r="F230" i="43"/>
  <c r="E230" i="43" s="1"/>
  <c r="G7" i="43"/>
  <c r="G10" i="43" s="1"/>
  <c r="E15" i="43"/>
  <c r="F6" i="43"/>
  <c r="F32" i="43"/>
  <c r="E32" i="43" s="1"/>
  <c r="F16" i="43"/>
  <c r="E34" i="43"/>
  <c r="E54" i="43"/>
  <c r="I6" i="43"/>
  <c r="I53" i="43"/>
  <c r="H6" i="43"/>
  <c r="F53" i="43" l="1"/>
  <c r="G8" i="43"/>
  <c r="G5" i="43"/>
  <c r="F269" i="43"/>
  <c r="E269" i="43" s="1"/>
  <c r="E118" i="43"/>
  <c r="F116" i="43"/>
  <c r="E116" i="43" s="1"/>
  <c r="H5" i="43"/>
  <c r="H9" i="43"/>
  <c r="H8" i="43" s="1"/>
  <c r="F7" i="43"/>
  <c r="E16" i="43"/>
  <c r="I5" i="43"/>
  <c r="I9" i="43"/>
  <c r="I8" i="43" s="1"/>
  <c r="F9" i="43"/>
  <c r="E6" i="43"/>
  <c r="F14" i="43"/>
  <c r="E14" i="43" s="1"/>
  <c r="E53" i="43"/>
  <c r="C70" i="42"/>
  <c r="B70" i="42"/>
  <c r="D69" i="42"/>
  <c r="D68" i="42" s="1"/>
  <c r="C69" i="42"/>
  <c r="B69" i="42"/>
  <c r="C67" i="42"/>
  <c r="B67" i="42"/>
  <c r="C66" i="42"/>
  <c r="B66" i="42"/>
  <c r="D62" i="42"/>
  <c r="D61" i="42" s="1"/>
  <c r="C62" i="42"/>
  <c r="C61" i="42" s="1"/>
  <c r="B62" i="42"/>
  <c r="B61" i="42" s="1"/>
  <c r="D56" i="42"/>
  <c r="D55" i="42" s="1"/>
  <c r="C56" i="42"/>
  <c r="C55" i="42" s="1"/>
  <c r="B56" i="42"/>
  <c r="B55" i="42" s="1"/>
  <c r="D51" i="42"/>
  <c r="D50" i="42" s="1"/>
  <c r="C51" i="42"/>
  <c r="C50" i="42" s="1"/>
  <c r="B51" i="42"/>
  <c r="B50" i="42" s="1"/>
  <c r="D48" i="42"/>
  <c r="D47" i="42" s="1"/>
  <c r="C48" i="42"/>
  <c r="C47" i="42" s="1"/>
  <c r="B48" i="42"/>
  <c r="B47" i="42" s="1"/>
  <c r="D42" i="42"/>
  <c r="D41" i="42" s="1"/>
  <c r="C42" i="42"/>
  <c r="C41" i="42" s="1"/>
  <c r="B42" i="42"/>
  <c r="B41" i="42" s="1"/>
  <c r="D36" i="42"/>
  <c r="C36" i="42"/>
  <c r="B36" i="42"/>
  <c r="D32" i="42"/>
  <c r="C32" i="42"/>
  <c r="B32" i="42"/>
  <c r="D23" i="42"/>
  <c r="D22" i="42" s="1"/>
  <c r="D21" i="42" s="1"/>
  <c r="C22" i="42"/>
  <c r="C21" i="42" s="1"/>
  <c r="B22" i="42"/>
  <c r="B21" i="42" s="1"/>
  <c r="D16" i="42"/>
  <c r="D15" i="42" s="1"/>
  <c r="C16" i="42"/>
  <c r="C15" i="42" s="1"/>
  <c r="B16" i="42"/>
  <c r="B15" i="42" s="1"/>
  <c r="D9" i="42"/>
  <c r="D8" i="42" s="1"/>
  <c r="C9" i="42"/>
  <c r="C8" i="42" s="1"/>
  <c r="B9" i="42"/>
  <c r="B8" i="42" s="1"/>
  <c r="C72" i="42" l="1"/>
  <c r="B31" i="42"/>
  <c r="B65" i="42" s="1"/>
  <c r="B73" i="42"/>
  <c r="C68" i="42"/>
  <c r="B68" i="42"/>
  <c r="C73" i="42"/>
  <c r="C31" i="42"/>
  <c r="C65" i="42" s="1"/>
  <c r="D31" i="42"/>
  <c r="D65" i="42" s="1"/>
  <c r="D71" i="42" s="1"/>
  <c r="B72" i="42"/>
  <c r="E9" i="43"/>
  <c r="F10" i="43"/>
  <c r="E10" i="43" s="1"/>
  <c r="E7" i="43"/>
  <c r="F5" i="43"/>
  <c r="E5" i="43" s="1"/>
  <c r="D66" i="42"/>
  <c r="D72" i="42" s="1"/>
  <c r="C71" i="42" l="1"/>
  <c r="B71" i="42"/>
  <c r="F8" i="43"/>
  <c r="E8" i="43" s="1"/>
  <c r="D118" i="41"/>
  <c r="B118" i="41"/>
  <c r="D117" i="41"/>
  <c r="B117" i="41"/>
  <c r="D116" i="41"/>
  <c r="B116" i="41"/>
  <c r="D115" i="41"/>
  <c r="B115" i="41"/>
  <c r="C105" i="41"/>
  <c r="B105" i="41"/>
  <c r="D104" i="41"/>
  <c r="C104" i="41"/>
  <c r="B104" i="41"/>
  <c r="D101" i="41"/>
  <c r="D100" i="41" s="1"/>
  <c r="D99" i="41" s="1"/>
  <c r="C101" i="41"/>
  <c r="C100" i="41" s="1"/>
  <c r="C99" i="41" s="1"/>
  <c r="B101" i="41"/>
  <c r="B100" i="41" s="1"/>
  <c r="B99" i="41" s="1"/>
  <c r="D96" i="41"/>
  <c r="D95" i="41" s="1"/>
  <c r="C96" i="41"/>
  <c r="C95" i="41" s="1"/>
  <c r="B96" i="41"/>
  <c r="B95" i="41" s="1"/>
  <c r="D93" i="41"/>
  <c r="D92" i="41" s="1"/>
  <c r="C93" i="41"/>
  <c r="C92" i="41" s="1"/>
  <c r="B93" i="41"/>
  <c r="B92" i="41" s="1"/>
  <c r="D89" i="41"/>
  <c r="D88" i="41" s="1"/>
  <c r="D87" i="41" s="1"/>
  <c r="C89" i="41"/>
  <c r="C88" i="41" s="1"/>
  <c r="C87" i="41" s="1"/>
  <c r="B89" i="41"/>
  <c r="B88" i="41" s="1"/>
  <c r="B87" i="41" s="1"/>
  <c r="D84" i="41"/>
  <c r="D83" i="41" s="1"/>
  <c r="C84" i="41"/>
  <c r="C83" i="41" s="1"/>
  <c r="B84" i="41"/>
  <c r="B83" i="41" s="1"/>
  <c r="D80" i="41"/>
  <c r="D79" i="41" s="1"/>
  <c r="C80" i="41"/>
  <c r="B80" i="41"/>
  <c r="B79" i="41" s="1"/>
  <c r="C79" i="41"/>
  <c r="D76" i="41"/>
  <c r="D75" i="41" s="1"/>
  <c r="C76" i="41"/>
  <c r="C75" i="41" s="1"/>
  <c r="B76" i="41"/>
  <c r="B75" i="41" s="1"/>
  <c r="D72" i="41"/>
  <c r="C72" i="41"/>
  <c r="B72" i="41"/>
  <c r="D69" i="41"/>
  <c r="C69" i="41"/>
  <c r="B69" i="41"/>
  <c r="D65" i="41"/>
  <c r="D64" i="41" s="1"/>
  <c r="C65" i="41"/>
  <c r="C64" i="41" s="1"/>
  <c r="B65" i="41"/>
  <c r="B64" i="41" s="1"/>
  <c r="D61" i="41"/>
  <c r="D60" i="41" s="1"/>
  <c r="D59" i="41" s="1"/>
  <c r="C61" i="41"/>
  <c r="C60" i="41" s="1"/>
  <c r="C59" i="41" s="1"/>
  <c r="B61" i="41"/>
  <c r="B60" i="41" s="1"/>
  <c r="B59" i="41" s="1"/>
  <c r="D56" i="41"/>
  <c r="C56" i="41"/>
  <c r="B56" i="41"/>
  <c r="D53" i="41"/>
  <c r="C53" i="41"/>
  <c r="B53" i="41"/>
  <c r="D49" i="41"/>
  <c r="D114" i="41" s="1"/>
  <c r="C49" i="41"/>
  <c r="C48" i="41" s="1"/>
  <c r="B49" i="41"/>
  <c r="B114" i="41" s="1"/>
  <c r="D46" i="41"/>
  <c r="D45" i="41" s="1"/>
  <c r="C46" i="41"/>
  <c r="C45" i="41" s="1"/>
  <c r="B46" i="41"/>
  <c r="B45" i="41" s="1"/>
  <c r="D42" i="41"/>
  <c r="D41" i="41" s="1"/>
  <c r="D40" i="41" s="1"/>
  <c r="C42" i="41"/>
  <c r="C41" i="41" s="1"/>
  <c r="C40" i="41" s="1"/>
  <c r="B42" i="41"/>
  <c r="B41" i="41" s="1"/>
  <c r="B40" i="41" s="1"/>
  <c r="D37" i="41"/>
  <c r="D36" i="41" s="1"/>
  <c r="C37" i="41"/>
  <c r="C36" i="41" s="1"/>
  <c r="B37" i="41"/>
  <c r="B36" i="41" s="1"/>
  <c r="D31" i="41"/>
  <c r="D30" i="41" s="1"/>
  <c r="C31" i="41"/>
  <c r="C30" i="41" s="1"/>
  <c r="B31" i="41"/>
  <c r="B30" i="41" s="1"/>
  <c r="D26" i="41"/>
  <c r="D25" i="41" s="1"/>
  <c r="C26" i="41"/>
  <c r="C25" i="41" s="1"/>
  <c r="B26" i="41"/>
  <c r="B25" i="41" s="1"/>
  <c r="D23" i="41"/>
  <c r="D22" i="41" s="1"/>
  <c r="C23" i="41"/>
  <c r="C22" i="41" s="1"/>
  <c r="B23" i="41"/>
  <c r="B22" i="41" s="1"/>
  <c r="D17" i="41"/>
  <c r="D16" i="41" s="1"/>
  <c r="C17" i="41"/>
  <c r="C16" i="41" s="1"/>
  <c r="B17" i="41"/>
  <c r="B16" i="41" s="1"/>
  <c r="D13" i="41"/>
  <c r="D12" i="41" s="1"/>
  <c r="C13" i="41"/>
  <c r="C12" i="41" s="1"/>
  <c r="B13" i="41"/>
  <c r="B12" i="41" s="1"/>
  <c r="D8" i="41"/>
  <c r="D7" i="41" s="1"/>
  <c r="D6" i="41" s="1"/>
  <c r="C8" i="41"/>
  <c r="C7" i="41" s="1"/>
  <c r="C6" i="41" s="1"/>
  <c r="B8" i="41"/>
  <c r="B7" i="41" s="1"/>
  <c r="B6" i="41" s="1"/>
  <c r="B52" i="41" l="1"/>
  <c r="B51" i="41" s="1"/>
  <c r="D119" i="41"/>
  <c r="B74" i="41"/>
  <c r="B48" i="41"/>
  <c r="B44" i="41" s="1"/>
  <c r="C52" i="41"/>
  <c r="C51" i="41" s="1"/>
  <c r="B29" i="41"/>
  <c r="D48" i="41"/>
  <c r="D44" i="41" s="1"/>
  <c r="C29" i="41"/>
  <c r="C11" i="41"/>
  <c r="C44" i="41"/>
  <c r="D74" i="41"/>
  <c r="B119" i="41"/>
  <c r="D52" i="41"/>
  <c r="D51" i="41" s="1"/>
  <c r="C21" i="41"/>
  <c r="B21" i="41"/>
  <c r="D21" i="41"/>
  <c r="D29" i="41"/>
  <c r="B11" i="41"/>
  <c r="B68" i="41"/>
  <c r="B63" i="41" s="1"/>
  <c r="C68" i="41"/>
  <c r="C63" i="41" s="1"/>
  <c r="D68" i="41"/>
  <c r="D63" i="41" s="1"/>
  <c r="B91" i="41"/>
  <c r="C91" i="41"/>
  <c r="D11" i="41"/>
  <c r="C74" i="41"/>
  <c r="D91" i="41"/>
  <c r="B103" i="41" l="1"/>
  <c r="C103" i="41"/>
  <c r="D103" i="41"/>
  <c r="G90" i="3"/>
  <c r="G80" i="3"/>
  <c r="G269" i="3"/>
  <c r="G259" i="3"/>
  <c r="G254" i="3"/>
  <c r="K14" i="3" l="1"/>
  <c r="H104" i="3"/>
  <c r="H84" i="3"/>
  <c r="J98" i="3" l="1"/>
  <c r="G245" i="3"/>
  <c r="G235" i="3"/>
  <c r="J353" i="3"/>
  <c r="G180" i="3"/>
  <c r="F136" i="36"/>
  <c r="E136" i="36"/>
  <c r="D135" i="36"/>
  <c r="D134" i="36" s="1"/>
  <c r="D133" i="36" s="1"/>
  <c r="C135" i="36"/>
  <c r="C134" i="36" s="1"/>
  <c r="F132" i="36"/>
  <c r="E132" i="36"/>
  <c r="F131" i="36"/>
  <c r="E131" i="36"/>
  <c r="D130" i="36"/>
  <c r="C130" i="36"/>
  <c r="C129" i="36" s="1"/>
  <c r="C128" i="36" s="1"/>
  <c r="F127" i="36"/>
  <c r="E127" i="36"/>
  <c r="F126" i="36"/>
  <c r="E126" i="36"/>
  <c r="F125" i="36"/>
  <c r="E125" i="36"/>
  <c r="F124" i="36"/>
  <c r="E124" i="36"/>
  <c r="F123" i="36"/>
  <c r="E123" i="36"/>
  <c r="D122" i="36"/>
  <c r="D121" i="36" s="1"/>
  <c r="C122" i="36"/>
  <c r="C121" i="36" s="1"/>
  <c r="F120" i="36"/>
  <c r="E120" i="36"/>
  <c r="F119" i="36"/>
  <c r="E119" i="36"/>
  <c r="F118" i="36"/>
  <c r="E118" i="36"/>
  <c r="F117" i="36"/>
  <c r="E117" i="36"/>
  <c r="F116" i="36"/>
  <c r="E116" i="36"/>
  <c r="F115" i="36"/>
  <c r="E115" i="36"/>
  <c r="C114" i="36"/>
  <c r="F114" i="36" s="1"/>
  <c r="D112" i="36"/>
  <c r="F113" i="36"/>
  <c r="E113" i="36"/>
  <c r="F111" i="36"/>
  <c r="E111" i="36"/>
  <c r="F110" i="36"/>
  <c r="E110" i="36"/>
  <c r="F109" i="36"/>
  <c r="E109" i="36"/>
  <c r="F108" i="36"/>
  <c r="E108" i="36"/>
  <c r="F107" i="36"/>
  <c r="E107" i="36"/>
  <c r="F105" i="36"/>
  <c r="E105" i="36"/>
  <c r="F104" i="36"/>
  <c r="E104" i="36"/>
  <c r="D103" i="36"/>
  <c r="D101" i="36" s="1"/>
  <c r="C103" i="36"/>
  <c r="C101" i="36" s="1"/>
  <c r="F102" i="36"/>
  <c r="E102" i="36"/>
  <c r="F100" i="36"/>
  <c r="E100" i="36"/>
  <c r="F99" i="36"/>
  <c r="E99" i="36"/>
  <c r="F98" i="36"/>
  <c r="E98" i="36"/>
  <c r="F97" i="36"/>
  <c r="E97" i="36"/>
  <c r="F96" i="36"/>
  <c r="E96" i="36"/>
  <c r="F95" i="36"/>
  <c r="E95" i="36"/>
  <c r="F94" i="36"/>
  <c r="D93" i="36"/>
  <c r="C93" i="36"/>
  <c r="F91" i="36"/>
  <c r="E91" i="36"/>
  <c r="F90" i="36"/>
  <c r="E90" i="36"/>
  <c r="C89" i="36"/>
  <c r="F89" i="36" s="1"/>
  <c r="F88" i="36"/>
  <c r="E88" i="36"/>
  <c r="F87" i="36"/>
  <c r="E87" i="36"/>
  <c r="D86" i="36"/>
  <c r="C86" i="36"/>
  <c r="F85" i="36"/>
  <c r="E85" i="36"/>
  <c r="F84" i="36"/>
  <c r="E84" i="36"/>
  <c r="F83" i="36"/>
  <c r="E83" i="36"/>
  <c r="F82" i="36"/>
  <c r="F81" i="36"/>
  <c r="E82" i="36"/>
  <c r="E81" i="36"/>
  <c r="D80" i="36"/>
  <c r="C80" i="36"/>
  <c r="F79" i="36"/>
  <c r="E79" i="36"/>
  <c r="F78" i="36"/>
  <c r="E78" i="36"/>
  <c r="D77" i="36"/>
  <c r="C77" i="36"/>
  <c r="C19" i="36"/>
  <c r="C30" i="36"/>
  <c r="C68" i="36"/>
  <c r="F76" i="36"/>
  <c r="E76" i="36"/>
  <c r="F75" i="36"/>
  <c r="E75" i="36"/>
  <c r="E74" i="36"/>
  <c r="F73" i="36"/>
  <c r="E73" i="36"/>
  <c r="F72" i="36"/>
  <c r="E72" i="36"/>
  <c r="F71" i="36"/>
  <c r="E71" i="36"/>
  <c r="F70" i="36"/>
  <c r="E70" i="36"/>
  <c r="F69" i="36"/>
  <c r="E69" i="36"/>
  <c r="D68" i="36"/>
  <c r="F66" i="36"/>
  <c r="E66" i="36"/>
  <c r="F65" i="36"/>
  <c r="E65" i="36"/>
  <c r="F64" i="36"/>
  <c r="E64" i="36"/>
  <c r="F63" i="36"/>
  <c r="E63" i="36"/>
  <c r="F62" i="36"/>
  <c r="E62" i="36"/>
  <c r="F61" i="36"/>
  <c r="E61" i="36"/>
  <c r="D60" i="36"/>
  <c r="C60" i="36"/>
  <c r="C59" i="36" s="1"/>
  <c r="F58" i="36"/>
  <c r="E58" i="36"/>
  <c r="D57" i="36"/>
  <c r="C57" i="36"/>
  <c r="F56" i="36"/>
  <c r="E56" i="36"/>
  <c r="F55" i="36"/>
  <c r="E55" i="36"/>
  <c r="F54" i="36"/>
  <c r="E54" i="36"/>
  <c r="F53" i="36"/>
  <c r="E53" i="36"/>
  <c r="F52" i="36"/>
  <c r="E52" i="36"/>
  <c r="F51" i="36"/>
  <c r="E51" i="36"/>
  <c r="F50" i="36"/>
  <c r="E50" i="36"/>
  <c r="D49" i="36"/>
  <c r="C49" i="36"/>
  <c r="F48" i="36"/>
  <c r="E48" i="36"/>
  <c r="F47" i="36"/>
  <c r="E47" i="36"/>
  <c r="F46" i="36"/>
  <c r="E46" i="36"/>
  <c r="D45" i="36"/>
  <c r="D44" i="36" s="1"/>
  <c r="C45" i="36"/>
  <c r="F43" i="36"/>
  <c r="E43" i="36"/>
  <c r="F42" i="36"/>
  <c r="E42" i="36"/>
  <c r="F41" i="36"/>
  <c r="E41" i="36"/>
  <c r="F40" i="36"/>
  <c r="E40" i="36"/>
  <c r="D39" i="36"/>
  <c r="D34" i="36" s="1"/>
  <c r="C39" i="36"/>
  <c r="F38" i="36"/>
  <c r="E38" i="36"/>
  <c r="F37" i="36"/>
  <c r="E37" i="36"/>
  <c r="F36" i="36"/>
  <c r="E36" i="36"/>
  <c r="F35" i="36"/>
  <c r="E35" i="36"/>
  <c r="F32" i="36"/>
  <c r="E32" i="36"/>
  <c r="F31" i="36"/>
  <c r="E31" i="36"/>
  <c r="D30" i="36"/>
  <c r="F29" i="36"/>
  <c r="F28" i="36"/>
  <c r="D27" i="36"/>
  <c r="C27" i="36"/>
  <c r="F26" i="36"/>
  <c r="F25" i="36"/>
  <c r="D24" i="36"/>
  <c r="C24" i="36"/>
  <c r="F23" i="36"/>
  <c r="E23" i="36"/>
  <c r="F22" i="36"/>
  <c r="E22" i="36"/>
  <c r="F21" i="36"/>
  <c r="E21" i="36"/>
  <c r="F20" i="36"/>
  <c r="E20" i="36"/>
  <c r="D19" i="36"/>
  <c r="F17" i="36"/>
  <c r="F16" i="36" s="1"/>
  <c r="E17" i="36"/>
  <c r="D16" i="36"/>
  <c r="C16" i="36"/>
  <c r="F15" i="36"/>
  <c r="F14" i="36" s="1"/>
  <c r="E15" i="36"/>
  <c r="D14" i="36"/>
  <c r="C14" i="36"/>
  <c r="D11" i="36"/>
  <c r="C11" i="36"/>
  <c r="F8" i="36"/>
  <c r="E8" i="36"/>
  <c r="F103" i="36"/>
  <c r="E448" i="35"/>
  <c r="E447" i="35"/>
  <c r="E446" i="35"/>
  <c r="E445" i="35"/>
  <c r="E444" i="35"/>
  <c r="F443" i="35"/>
  <c r="E443" i="35" s="1"/>
  <c r="I442" i="35"/>
  <c r="F442" i="35"/>
  <c r="F436" i="35" s="1"/>
  <c r="E436" i="35" s="1"/>
  <c r="G442" i="35"/>
  <c r="H442" i="35"/>
  <c r="I441" i="35"/>
  <c r="H441" i="35"/>
  <c r="G441" i="35"/>
  <c r="F441" i="35"/>
  <c r="F435" i="35" s="1"/>
  <c r="E435" i="35" s="1"/>
  <c r="I440" i="35"/>
  <c r="H440" i="35"/>
  <c r="G440" i="35"/>
  <c r="F440" i="35"/>
  <c r="I439" i="35"/>
  <c r="H439" i="35"/>
  <c r="G439" i="35"/>
  <c r="F439" i="35"/>
  <c r="F433" i="35" s="1"/>
  <c r="I438" i="35"/>
  <c r="H438" i="35"/>
  <c r="G438" i="35"/>
  <c r="F438" i="35"/>
  <c r="F432" i="35" s="1"/>
  <c r="E432" i="35" s="1"/>
  <c r="E430" i="35"/>
  <c r="E424" i="35" s="1"/>
  <c r="E429" i="35"/>
  <c r="E423" i="35" s="1"/>
  <c r="E428" i="35"/>
  <c r="E422" i="35" s="1"/>
  <c r="E427" i="35"/>
  <c r="E421" i="35" s="1"/>
  <c r="E426" i="35"/>
  <c r="E420" i="35" s="1"/>
  <c r="I425" i="35"/>
  <c r="I419" i="35" s="1"/>
  <c r="H425" i="35"/>
  <c r="H419" i="35" s="1"/>
  <c r="F425" i="35"/>
  <c r="F419" i="35" s="1"/>
  <c r="G425" i="35"/>
  <c r="G419" i="35" s="1"/>
  <c r="I424" i="35"/>
  <c r="H424" i="35"/>
  <c r="G424" i="35"/>
  <c r="F424" i="35"/>
  <c r="I423" i="35"/>
  <c r="H423" i="35"/>
  <c r="G423" i="35"/>
  <c r="F423" i="35"/>
  <c r="I422" i="35"/>
  <c r="H422" i="35"/>
  <c r="G422" i="35"/>
  <c r="F422" i="35"/>
  <c r="I421" i="35"/>
  <c r="H421" i="35"/>
  <c r="G421" i="35"/>
  <c r="F421" i="35"/>
  <c r="F223" i="35"/>
  <c r="F307" i="35"/>
  <c r="I420" i="35"/>
  <c r="H420" i="35"/>
  <c r="G420" i="35"/>
  <c r="F420" i="35"/>
  <c r="E418" i="35"/>
  <c r="E417" i="35"/>
  <c r="E416" i="35"/>
  <c r="E415" i="35"/>
  <c r="E414" i="35"/>
  <c r="I413" i="35"/>
  <c r="H413" i="35"/>
  <c r="G413" i="35"/>
  <c r="F413" i="35"/>
  <c r="E412" i="35"/>
  <c r="E411" i="35"/>
  <c r="E410" i="35"/>
  <c r="E409" i="35"/>
  <c r="E408" i="35"/>
  <c r="I407" i="35"/>
  <c r="H407" i="35"/>
  <c r="G407" i="35"/>
  <c r="F407" i="35"/>
  <c r="E406" i="35"/>
  <c r="E405" i="35"/>
  <c r="E404" i="35"/>
  <c r="E403" i="35"/>
  <c r="E402" i="35"/>
  <c r="I401" i="35"/>
  <c r="H401" i="35"/>
  <c r="G401" i="35"/>
  <c r="F401" i="35"/>
  <c r="E400" i="35"/>
  <c r="E399" i="35"/>
  <c r="E398" i="35"/>
  <c r="E397" i="35"/>
  <c r="E396" i="35"/>
  <c r="I395" i="35"/>
  <c r="H395" i="35"/>
  <c r="G395" i="35"/>
  <c r="F395" i="35"/>
  <c r="E394" i="35"/>
  <c r="E393" i="35"/>
  <c r="E392" i="35"/>
  <c r="E391" i="35"/>
  <c r="E390" i="35"/>
  <c r="I389" i="35"/>
  <c r="H389" i="35"/>
  <c r="G389" i="35"/>
  <c r="F389" i="35"/>
  <c r="E388" i="35"/>
  <c r="E387" i="35"/>
  <c r="E386" i="35"/>
  <c r="E385" i="35"/>
  <c r="E384" i="35"/>
  <c r="I383" i="35"/>
  <c r="H383" i="35"/>
  <c r="G383" i="35"/>
  <c r="F383" i="35"/>
  <c r="E382" i="35"/>
  <c r="E381" i="35"/>
  <c r="E380" i="35"/>
  <c r="E379" i="35"/>
  <c r="E378" i="35"/>
  <c r="I377" i="35"/>
  <c r="H377" i="35"/>
  <c r="G377" i="35"/>
  <c r="F377" i="35"/>
  <c r="E376" i="35"/>
  <c r="E375" i="35"/>
  <c r="E374" i="35"/>
  <c r="E373" i="35"/>
  <c r="E372" i="35"/>
  <c r="I371" i="35"/>
  <c r="H371" i="35"/>
  <c r="G371" i="35"/>
  <c r="F371" i="35"/>
  <c r="E370" i="35"/>
  <c r="E369" i="35"/>
  <c r="E368" i="35"/>
  <c r="E367" i="35"/>
  <c r="E366" i="35"/>
  <c r="I365" i="35"/>
  <c r="H365" i="35"/>
  <c r="F365" i="35"/>
  <c r="G365" i="35"/>
  <c r="E364" i="35"/>
  <c r="E363" i="35"/>
  <c r="E362" i="35"/>
  <c r="E361" i="35"/>
  <c r="E360" i="35"/>
  <c r="I359" i="35"/>
  <c r="H359" i="35"/>
  <c r="G359" i="35"/>
  <c r="F359" i="35"/>
  <c r="E358" i="35"/>
  <c r="E357" i="35"/>
  <c r="E356" i="35"/>
  <c r="E355" i="35"/>
  <c r="E354" i="35"/>
  <c r="I353" i="35"/>
  <c r="H353" i="35"/>
  <c r="G353" i="35"/>
  <c r="F353" i="35"/>
  <c r="E352" i="35"/>
  <c r="E351" i="35"/>
  <c r="E350" i="35"/>
  <c r="E349" i="35"/>
  <c r="E348" i="35"/>
  <c r="I347" i="35"/>
  <c r="H347" i="35"/>
  <c r="G347" i="35"/>
  <c r="F347" i="35"/>
  <c r="E346" i="35"/>
  <c r="E345" i="35"/>
  <c r="E344" i="35"/>
  <c r="E343" i="35"/>
  <c r="E342" i="35"/>
  <c r="I341" i="35"/>
  <c r="H341" i="35"/>
  <c r="G341" i="35"/>
  <c r="F341" i="35"/>
  <c r="E340" i="35"/>
  <c r="E339" i="35"/>
  <c r="E338" i="35"/>
  <c r="E337" i="35"/>
  <c r="E336" i="35"/>
  <c r="I335" i="35"/>
  <c r="H335" i="35"/>
  <c r="G335" i="35"/>
  <c r="F335" i="35"/>
  <c r="E334" i="35"/>
  <c r="E333" i="35"/>
  <c r="E332" i="35"/>
  <c r="E331" i="35"/>
  <c r="E330" i="35"/>
  <c r="I329" i="35"/>
  <c r="H329" i="35"/>
  <c r="G329" i="35"/>
  <c r="F329" i="35"/>
  <c r="E328" i="35"/>
  <c r="E327" i="35"/>
  <c r="E326" i="35"/>
  <c r="E325" i="35"/>
  <c r="E324" i="35"/>
  <c r="I323" i="35"/>
  <c r="H323" i="35"/>
  <c r="G323" i="35"/>
  <c r="F323" i="35"/>
  <c r="E322" i="35"/>
  <c r="E321" i="35"/>
  <c r="E320" i="35"/>
  <c r="E319" i="35"/>
  <c r="E318" i="35"/>
  <c r="I317" i="35"/>
  <c r="H317" i="35"/>
  <c r="G317" i="35"/>
  <c r="F317" i="35"/>
  <c r="E316" i="35"/>
  <c r="E315" i="35"/>
  <c r="E314" i="35"/>
  <c r="E313" i="35"/>
  <c r="E312" i="35"/>
  <c r="I311" i="35"/>
  <c r="H311" i="35"/>
  <c r="G311" i="35"/>
  <c r="F311" i="35"/>
  <c r="I310" i="35"/>
  <c r="H310" i="35"/>
  <c r="G310" i="35"/>
  <c r="F310" i="35"/>
  <c r="I309" i="35"/>
  <c r="H309" i="35"/>
  <c r="G309" i="35"/>
  <c r="F309" i="35"/>
  <c r="I308" i="35"/>
  <c r="H308" i="35"/>
  <c r="G308" i="35"/>
  <c r="F308" i="35"/>
  <c r="I307" i="35"/>
  <c r="H307" i="35"/>
  <c r="G307" i="35"/>
  <c r="I306" i="35"/>
  <c r="H306" i="35"/>
  <c r="G306" i="35"/>
  <c r="F306" i="35"/>
  <c r="E304" i="35"/>
  <c r="E303" i="35"/>
  <c r="E302" i="35"/>
  <c r="E301" i="35"/>
  <c r="E300" i="35"/>
  <c r="I299" i="35"/>
  <c r="H299" i="35"/>
  <c r="G299" i="35"/>
  <c r="F299" i="35"/>
  <c r="E298" i="35"/>
  <c r="E297" i="35"/>
  <c r="E296" i="35"/>
  <c r="E295" i="35"/>
  <c r="E294" i="35"/>
  <c r="I293" i="35"/>
  <c r="H293" i="35"/>
  <c r="G293" i="35"/>
  <c r="F293" i="35"/>
  <c r="E292" i="35"/>
  <c r="E291" i="35"/>
  <c r="E290" i="35"/>
  <c r="E289" i="35"/>
  <c r="E288" i="35"/>
  <c r="I287" i="35"/>
  <c r="H287" i="35"/>
  <c r="G287" i="35"/>
  <c r="F287" i="35"/>
  <c r="E286" i="35"/>
  <c r="E285" i="35"/>
  <c r="E284" i="35"/>
  <c r="E283" i="35"/>
  <c r="E282" i="35"/>
  <c r="I281" i="35"/>
  <c r="H281" i="35"/>
  <c r="G281" i="35"/>
  <c r="F281" i="35"/>
  <c r="E280" i="35"/>
  <c r="E279" i="35"/>
  <c r="E278" i="35"/>
  <c r="E277" i="35"/>
  <c r="E276" i="35"/>
  <c r="I275" i="35"/>
  <c r="H275" i="35"/>
  <c r="G275" i="35"/>
  <c r="F275" i="35"/>
  <c r="E274" i="35"/>
  <c r="E273" i="35"/>
  <c r="E272" i="35"/>
  <c r="E271" i="35"/>
  <c r="E270" i="35"/>
  <c r="I269" i="35"/>
  <c r="H269" i="35"/>
  <c r="G269" i="35"/>
  <c r="F269" i="35"/>
  <c r="E268" i="35"/>
  <c r="G267" i="35"/>
  <c r="G263" i="35" s="1"/>
  <c r="F267" i="35"/>
  <c r="F225" i="35" s="1"/>
  <c r="E266" i="35"/>
  <c r="E265" i="35"/>
  <c r="E264" i="35"/>
  <c r="I263" i="35"/>
  <c r="H263" i="35"/>
  <c r="E262" i="35"/>
  <c r="E261" i="35"/>
  <c r="E260" i="35"/>
  <c r="E259" i="35"/>
  <c r="E258" i="35"/>
  <c r="I257" i="35"/>
  <c r="H257" i="35"/>
  <c r="G257" i="35"/>
  <c r="F257" i="35"/>
  <c r="E256" i="35"/>
  <c r="E255" i="35"/>
  <c r="E254" i="35"/>
  <c r="E253" i="35"/>
  <c r="E252" i="35"/>
  <c r="I251" i="35"/>
  <c r="H251" i="35"/>
  <c r="G251" i="35"/>
  <c r="F251" i="35"/>
  <c r="E250" i="35"/>
  <c r="E249" i="35"/>
  <c r="E248" i="35"/>
  <c r="E247" i="35"/>
  <c r="E246" i="35"/>
  <c r="I245" i="35"/>
  <c r="H245" i="35"/>
  <c r="G245" i="35"/>
  <c r="F245" i="35"/>
  <c r="E244" i="35"/>
  <c r="E243" i="35"/>
  <c r="E242" i="35"/>
  <c r="E241" i="35"/>
  <c r="E240" i="35"/>
  <c r="I239" i="35"/>
  <c r="H239" i="35"/>
  <c r="F239" i="35"/>
  <c r="G239" i="35"/>
  <c r="E238" i="35"/>
  <c r="E237" i="35"/>
  <c r="E236" i="35"/>
  <c r="E235" i="35"/>
  <c r="E234" i="35"/>
  <c r="I233" i="35"/>
  <c r="H233" i="35"/>
  <c r="G233" i="35"/>
  <c r="F233" i="35"/>
  <c r="E232" i="35"/>
  <c r="E231" i="35"/>
  <c r="E230" i="35"/>
  <c r="E229" i="35"/>
  <c r="E228" i="35"/>
  <c r="I227" i="35"/>
  <c r="H227" i="35"/>
  <c r="G227" i="35"/>
  <c r="F227" i="35"/>
  <c r="I226" i="35"/>
  <c r="H226" i="35"/>
  <c r="G226" i="35"/>
  <c r="G220" i="35" s="1"/>
  <c r="F226" i="35"/>
  <c r="I225" i="35"/>
  <c r="H225" i="35"/>
  <c r="I224" i="35"/>
  <c r="H224" i="35"/>
  <c r="G224" i="35"/>
  <c r="F224" i="35"/>
  <c r="F218" i="35" s="1"/>
  <c r="I223" i="35"/>
  <c r="H223" i="35"/>
  <c r="G223" i="35"/>
  <c r="I222" i="35"/>
  <c r="H222" i="35"/>
  <c r="G222" i="35"/>
  <c r="F222" i="35"/>
  <c r="E214" i="35"/>
  <c r="E213" i="35"/>
  <c r="E212" i="35"/>
  <c r="E211" i="35"/>
  <c r="E210" i="35"/>
  <c r="I209" i="35"/>
  <c r="H209" i="35"/>
  <c r="G209" i="35"/>
  <c r="F209" i="35"/>
  <c r="E208" i="35"/>
  <c r="E207" i="35"/>
  <c r="E206" i="35"/>
  <c r="E205" i="35"/>
  <c r="E204" i="35"/>
  <c r="I203" i="35"/>
  <c r="H203" i="35"/>
  <c r="G203" i="35"/>
  <c r="F203" i="35"/>
  <c r="E202" i="35"/>
  <c r="E201" i="35"/>
  <c r="E200" i="35"/>
  <c r="E199" i="35"/>
  <c r="E198" i="35"/>
  <c r="I197" i="35"/>
  <c r="H197" i="35"/>
  <c r="G197" i="35"/>
  <c r="F197" i="35"/>
  <c r="E196" i="35"/>
  <c r="E195" i="35"/>
  <c r="E194" i="35"/>
  <c r="E193" i="35"/>
  <c r="E192" i="35"/>
  <c r="I191" i="35"/>
  <c r="H191" i="35"/>
  <c r="G191" i="35"/>
  <c r="F191" i="35"/>
  <c r="I190" i="35"/>
  <c r="H190" i="35"/>
  <c r="G190" i="35"/>
  <c r="F190" i="35"/>
  <c r="I189" i="35"/>
  <c r="H189" i="35"/>
  <c r="G189" i="35"/>
  <c r="F189" i="35"/>
  <c r="I188" i="35"/>
  <c r="H188" i="35"/>
  <c r="G188" i="35"/>
  <c r="F188" i="35"/>
  <c r="I187" i="35"/>
  <c r="H187" i="35"/>
  <c r="G187" i="35"/>
  <c r="F187" i="35"/>
  <c r="I186" i="35"/>
  <c r="I185" i="35" s="1"/>
  <c r="H186" i="35"/>
  <c r="G186" i="35"/>
  <c r="F186" i="35"/>
  <c r="E184" i="35"/>
  <c r="E183" i="35"/>
  <c r="E182" i="35"/>
  <c r="E181" i="35"/>
  <c r="E180" i="35"/>
  <c r="I179" i="35"/>
  <c r="H179" i="35"/>
  <c r="G179" i="35"/>
  <c r="F179" i="35"/>
  <c r="E178" i="35"/>
  <c r="E177" i="35"/>
  <c r="E176" i="35"/>
  <c r="E175" i="35"/>
  <c r="E174" i="35"/>
  <c r="I173" i="35"/>
  <c r="H173" i="35"/>
  <c r="G173" i="35"/>
  <c r="F173" i="35"/>
  <c r="E172" i="35"/>
  <c r="E171" i="35"/>
  <c r="E170" i="35"/>
  <c r="E169" i="35"/>
  <c r="E168" i="35"/>
  <c r="I167" i="35"/>
  <c r="H167" i="35"/>
  <c r="G167" i="35"/>
  <c r="F167" i="35"/>
  <c r="E166" i="35"/>
  <c r="E165" i="35"/>
  <c r="I164" i="35"/>
  <c r="I158" i="35" s="1"/>
  <c r="H164" i="35"/>
  <c r="G164" i="35"/>
  <c r="G158" i="35" s="1"/>
  <c r="I163" i="35"/>
  <c r="I157" i="35" s="1"/>
  <c r="H163" i="35"/>
  <c r="H157" i="35" s="1"/>
  <c r="G163" i="35"/>
  <c r="G157" i="35" s="1"/>
  <c r="I162" i="35"/>
  <c r="I156" i="35" s="1"/>
  <c r="H162" i="35"/>
  <c r="H156" i="35" s="1"/>
  <c r="G162" i="35"/>
  <c r="F161" i="35"/>
  <c r="I160" i="35"/>
  <c r="H160" i="35"/>
  <c r="G160" i="35"/>
  <c r="F160" i="35"/>
  <c r="I159" i="35"/>
  <c r="H159" i="35"/>
  <c r="G159" i="35"/>
  <c r="F159" i="35"/>
  <c r="F158" i="35"/>
  <c r="F157" i="35"/>
  <c r="F156" i="35"/>
  <c r="E154" i="35"/>
  <c r="E153" i="35"/>
  <c r="E152" i="35"/>
  <c r="E150" i="35"/>
  <c r="I149" i="35"/>
  <c r="H149" i="35"/>
  <c r="G149" i="35"/>
  <c r="F149" i="35"/>
  <c r="E148" i="35"/>
  <c r="E147" i="35"/>
  <c r="E146" i="35"/>
  <c r="E144" i="35"/>
  <c r="I143" i="35"/>
  <c r="H143" i="35"/>
  <c r="G143" i="35"/>
  <c r="F143" i="35"/>
  <c r="E142" i="35"/>
  <c r="E141" i="35"/>
  <c r="E140" i="35"/>
  <c r="E139" i="35"/>
  <c r="E138" i="35"/>
  <c r="I137" i="35"/>
  <c r="F137" i="35"/>
  <c r="G137" i="35"/>
  <c r="H137" i="35"/>
  <c r="E136" i="35"/>
  <c r="E135" i="35"/>
  <c r="E134" i="35"/>
  <c r="E133" i="35"/>
  <c r="E132" i="35"/>
  <c r="I131" i="35"/>
  <c r="H131" i="35"/>
  <c r="G131" i="35"/>
  <c r="F131" i="35"/>
  <c r="E130" i="35"/>
  <c r="E129" i="35"/>
  <c r="E128" i="35"/>
  <c r="E127" i="35"/>
  <c r="E126" i="35"/>
  <c r="I125" i="35"/>
  <c r="H125" i="35"/>
  <c r="G125" i="35"/>
  <c r="F125" i="35"/>
  <c r="E124" i="35"/>
  <c r="E123" i="35"/>
  <c r="E122" i="35"/>
  <c r="E121" i="35"/>
  <c r="E120" i="35"/>
  <c r="I119" i="35"/>
  <c r="H119" i="35"/>
  <c r="G119" i="35"/>
  <c r="F119" i="35"/>
  <c r="E118" i="35"/>
  <c r="E117" i="35"/>
  <c r="E116" i="35"/>
  <c r="E115" i="35"/>
  <c r="E114" i="35"/>
  <c r="I113" i="35"/>
  <c r="H113" i="35"/>
  <c r="G113" i="35"/>
  <c r="F113" i="35"/>
  <c r="E112" i="35"/>
  <c r="E111" i="35"/>
  <c r="E110" i="35"/>
  <c r="E109" i="35"/>
  <c r="E108" i="35"/>
  <c r="I107" i="35"/>
  <c r="H107" i="35"/>
  <c r="G107" i="35"/>
  <c r="F107" i="35"/>
  <c r="E106" i="35"/>
  <c r="E105" i="35"/>
  <c r="E104" i="35"/>
  <c r="E103" i="35"/>
  <c r="E102" i="35"/>
  <c r="I101" i="35"/>
  <c r="H101" i="35"/>
  <c r="G101" i="35"/>
  <c r="F101" i="35"/>
  <c r="I100" i="35"/>
  <c r="I94" i="35" s="1"/>
  <c r="H100" i="35"/>
  <c r="H94" i="35" s="1"/>
  <c r="G100" i="35"/>
  <c r="G94" i="35" s="1"/>
  <c r="I99" i="35"/>
  <c r="I93" i="35" s="1"/>
  <c r="H99" i="35"/>
  <c r="H93" i="35" s="1"/>
  <c r="G99" i="35"/>
  <c r="G93" i="35" s="1"/>
  <c r="I98" i="35"/>
  <c r="H98" i="35"/>
  <c r="H92" i="35" s="1"/>
  <c r="G98" i="35"/>
  <c r="G92" i="35" s="1"/>
  <c r="I97" i="35"/>
  <c r="I91" i="35" s="1"/>
  <c r="H97" i="35"/>
  <c r="G97" i="35"/>
  <c r="I96" i="35"/>
  <c r="I90" i="35" s="1"/>
  <c r="H96" i="35"/>
  <c r="G96" i="35"/>
  <c r="G90" i="35" s="1"/>
  <c r="F95" i="35"/>
  <c r="F94" i="35"/>
  <c r="F93" i="35"/>
  <c r="F92" i="35"/>
  <c r="F91" i="35"/>
  <c r="F90" i="35"/>
  <c r="E82" i="35"/>
  <c r="E81" i="35"/>
  <c r="E80" i="35"/>
  <c r="E79" i="35"/>
  <c r="E78" i="35"/>
  <c r="I77" i="35"/>
  <c r="H77" i="35"/>
  <c r="G77" i="35"/>
  <c r="F77" i="35"/>
  <c r="E76" i="35"/>
  <c r="E75" i="35"/>
  <c r="E74" i="35"/>
  <c r="E73" i="35"/>
  <c r="E72" i="35"/>
  <c r="I71" i="35"/>
  <c r="H71" i="35"/>
  <c r="G71" i="35"/>
  <c r="F71" i="35"/>
  <c r="E70" i="35"/>
  <c r="E69" i="35"/>
  <c r="E68" i="35"/>
  <c r="E67" i="35"/>
  <c r="E66" i="35"/>
  <c r="I65" i="35"/>
  <c r="H65" i="35"/>
  <c r="G65" i="35"/>
  <c r="F65" i="35"/>
  <c r="I64" i="35"/>
  <c r="H64" i="35"/>
  <c r="G64" i="35"/>
  <c r="F64" i="35"/>
  <c r="I63" i="35"/>
  <c r="H63" i="35"/>
  <c r="G63" i="35"/>
  <c r="F63" i="35"/>
  <c r="I62" i="35"/>
  <c r="H62" i="35"/>
  <c r="G62" i="35"/>
  <c r="F62" i="35"/>
  <c r="I61" i="35"/>
  <c r="H61" i="35"/>
  <c r="G61" i="35"/>
  <c r="G19" i="35"/>
  <c r="F61" i="35"/>
  <c r="I60" i="35"/>
  <c r="H60" i="35"/>
  <c r="G60" i="35"/>
  <c r="F60" i="35"/>
  <c r="E58" i="35"/>
  <c r="E57" i="35"/>
  <c r="E56" i="35"/>
  <c r="E55" i="35"/>
  <c r="E54" i="35"/>
  <c r="I53" i="35"/>
  <c r="H53" i="35"/>
  <c r="G53" i="35"/>
  <c r="F53" i="35"/>
  <c r="E52" i="35"/>
  <c r="E51" i="35"/>
  <c r="E50" i="35"/>
  <c r="E49" i="35"/>
  <c r="E48" i="35"/>
  <c r="I47" i="35"/>
  <c r="H47" i="35"/>
  <c r="G47" i="35"/>
  <c r="F47" i="35"/>
  <c r="E46" i="35"/>
  <c r="E45" i="35"/>
  <c r="E44" i="35"/>
  <c r="E43" i="35"/>
  <c r="E42" i="35"/>
  <c r="I41" i="35"/>
  <c r="H41" i="35"/>
  <c r="G41" i="35"/>
  <c r="F41" i="35"/>
  <c r="E40" i="35"/>
  <c r="E39" i="35"/>
  <c r="E38" i="35"/>
  <c r="E37" i="35"/>
  <c r="E36" i="35"/>
  <c r="I35" i="35"/>
  <c r="H35" i="35"/>
  <c r="G35" i="35"/>
  <c r="F35" i="35"/>
  <c r="E34" i="35"/>
  <c r="E33" i="35"/>
  <c r="E32" i="35"/>
  <c r="E31" i="35"/>
  <c r="E30" i="35"/>
  <c r="I29" i="35"/>
  <c r="H29" i="35"/>
  <c r="F29" i="35"/>
  <c r="G29" i="35"/>
  <c r="E28" i="35"/>
  <c r="E27" i="35"/>
  <c r="E26" i="35"/>
  <c r="E25" i="35"/>
  <c r="E24" i="35"/>
  <c r="I23" i="35"/>
  <c r="H23" i="35"/>
  <c r="G23" i="35"/>
  <c r="F23" i="35"/>
  <c r="I22" i="35"/>
  <c r="H22" i="35"/>
  <c r="G22" i="35"/>
  <c r="F22" i="35"/>
  <c r="I21" i="35"/>
  <c r="H21" i="35"/>
  <c r="G21" i="35"/>
  <c r="F21" i="35"/>
  <c r="I20" i="35"/>
  <c r="H20" i="35"/>
  <c r="G20" i="35"/>
  <c r="F20" i="35"/>
  <c r="I19" i="35"/>
  <c r="H19" i="35"/>
  <c r="F19" i="35"/>
  <c r="I18" i="35"/>
  <c r="I12" i="35" s="1"/>
  <c r="H18" i="35"/>
  <c r="G18" i="35"/>
  <c r="F18" i="35"/>
  <c r="J233" i="3"/>
  <c r="J163" i="3"/>
  <c r="I10" i="33"/>
  <c r="I9" i="33"/>
  <c r="I8" i="33"/>
  <c r="I7" i="33"/>
  <c r="J372" i="3"/>
  <c r="J370" i="3"/>
  <c r="J5" i="3" s="1"/>
  <c r="J8" i="3" s="1"/>
  <c r="F20" i="24"/>
  <c r="G20" i="24"/>
  <c r="H20" i="24"/>
  <c r="F12" i="24"/>
  <c r="H12" i="24"/>
  <c r="F158" i="21"/>
  <c r="F98" i="31"/>
  <c r="E98" i="31"/>
  <c r="C97" i="31"/>
  <c r="C96" i="31" s="1"/>
  <c r="D97" i="31"/>
  <c r="D96" i="31" s="1"/>
  <c r="D95" i="31" s="1"/>
  <c r="D94" i="31" s="1"/>
  <c r="F93" i="31"/>
  <c r="E93" i="31"/>
  <c r="F92" i="31"/>
  <c r="E92" i="31"/>
  <c r="D91" i="31"/>
  <c r="C91" i="31"/>
  <c r="C90" i="31" s="1"/>
  <c r="C89" i="31" s="1"/>
  <c r="F88" i="31"/>
  <c r="E88" i="31"/>
  <c r="C87" i="31"/>
  <c r="D87" i="31"/>
  <c r="F86" i="31"/>
  <c r="E86" i="31"/>
  <c r="F85" i="31"/>
  <c r="E85" i="31"/>
  <c r="D84" i="31"/>
  <c r="C84" i="31"/>
  <c r="F83" i="31"/>
  <c r="F82" i="31" s="1"/>
  <c r="E83" i="31"/>
  <c r="E82" i="31" s="1"/>
  <c r="D82" i="31"/>
  <c r="C82" i="31"/>
  <c r="F80" i="31"/>
  <c r="E80" i="31"/>
  <c r="F79" i="31"/>
  <c r="E79" i="31"/>
  <c r="F78" i="31"/>
  <c r="E78" i="31"/>
  <c r="F77" i="31"/>
  <c r="E77" i="31"/>
  <c r="F76" i="31"/>
  <c r="E76" i="31"/>
  <c r="F75" i="31"/>
  <c r="E75" i="31"/>
  <c r="C74" i="31"/>
  <c r="C73" i="31" s="1"/>
  <c r="D74" i="31"/>
  <c r="D73" i="31" s="1"/>
  <c r="F72" i="31"/>
  <c r="E72" i="31"/>
  <c r="F71" i="31"/>
  <c r="E71" i="31"/>
  <c r="C70" i="31"/>
  <c r="D70" i="31"/>
  <c r="E70" i="31" s="1"/>
  <c r="F69" i="31"/>
  <c r="E69" i="31"/>
  <c r="F68" i="31"/>
  <c r="E68" i="31"/>
  <c r="F67" i="31"/>
  <c r="E67" i="31"/>
  <c r="F66" i="31"/>
  <c r="E66" i="31"/>
  <c r="F65" i="31"/>
  <c r="E65" i="31"/>
  <c r="F64" i="31"/>
  <c r="E64" i="31"/>
  <c r="F63" i="31"/>
  <c r="E63" i="31"/>
  <c r="C62" i="31"/>
  <c r="D62" i="31"/>
  <c r="F61" i="31"/>
  <c r="E61" i="31"/>
  <c r="F60" i="31"/>
  <c r="E60" i="31"/>
  <c r="F59" i="31"/>
  <c r="E59" i="31"/>
  <c r="F58" i="31"/>
  <c r="E58" i="31"/>
  <c r="F57" i="31"/>
  <c r="E57" i="31"/>
  <c r="F56" i="31"/>
  <c r="E56" i="31"/>
  <c r="F55" i="31"/>
  <c r="E55" i="31"/>
  <c r="F54" i="31"/>
  <c r="E54" i="31"/>
  <c r="C53" i="31"/>
  <c r="C52" i="31" s="1"/>
  <c r="D53" i="31"/>
  <c r="F49" i="31"/>
  <c r="E49" i="31"/>
  <c r="F48" i="31"/>
  <c r="E47" i="31"/>
  <c r="F46" i="31"/>
  <c r="E46" i="31"/>
  <c r="F45" i="31"/>
  <c r="E45" i="31"/>
  <c r="F44" i="31"/>
  <c r="E44" i="31"/>
  <c r="C43" i="31"/>
  <c r="F43" i="31" s="1"/>
  <c r="D43" i="31"/>
  <c r="F42" i="31"/>
  <c r="E42" i="31"/>
  <c r="F41" i="31"/>
  <c r="E41" i="31"/>
  <c r="F40" i="31"/>
  <c r="E40" i="31"/>
  <c r="F39" i="31"/>
  <c r="E39" i="31"/>
  <c r="F38" i="31"/>
  <c r="E38" i="31"/>
  <c r="F37" i="31"/>
  <c r="E37" i="31"/>
  <c r="F36" i="31"/>
  <c r="E36" i="31"/>
  <c r="F35" i="31"/>
  <c r="E35" i="31"/>
  <c r="F34" i="31"/>
  <c r="E34" i="31"/>
  <c r="F33" i="31"/>
  <c r="E33" i="31"/>
  <c r="C32" i="31"/>
  <c r="D32" i="31"/>
  <c r="E32" i="31" s="1"/>
  <c r="F28" i="31"/>
  <c r="E28" i="31"/>
  <c r="F27" i="31"/>
  <c r="E27" i="31"/>
  <c r="F26" i="31"/>
  <c r="E26" i="31"/>
  <c r="C25" i="31"/>
  <c r="C24" i="31" s="1"/>
  <c r="D25" i="31"/>
  <c r="D24" i="31" s="1"/>
  <c r="D23" i="31" s="1"/>
  <c r="F22" i="31"/>
  <c r="E22" i="31"/>
  <c r="F21" i="31"/>
  <c r="F20" i="31"/>
  <c r="C19" i="31"/>
  <c r="C12" i="31" s="1"/>
  <c r="C11" i="31" s="1"/>
  <c r="D19" i="31"/>
  <c r="F18" i="31"/>
  <c r="F17" i="31"/>
  <c r="C16" i="31"/>
  <c r="D16" i="31"/>
  <c r="F15" i="31"/>
  <c r="E15" i="31"/>
  <c r="F14" i="31"/>
  <c r="E14" i="31"/>
  <c r="F13" i="31"/>
  <c r="E13" i="31"/>
  <c r="F8" i="31"/>
  <c r="E8" i="31"/>
  <c r="G115" i="3"/>
  <c r="G120" i="3"/>
  <c r="G110" i="3"/>
  <c r="G12" i="24"/>
  <c r="I12" i="24"/>
  <c r="E20" i="24"/>
  <c r="E424" i="20"/>
  <c r="E423" i="20"/>
  <c r="E422" i="20"/>
  <c r="E421" i="20"/>
  <c r="E420" i="20"/>
  <c r="F419" i="20"/>
  <c r="E419" i="20" s="1"/>
  <c r="I418" i="20"/>
  <c r="H418" i="20"/>
  <c r="G418" i="20"/>
  <c r="F418" i="20"/>
  <c r="F412" i="20" s="1"/>
  <c r="E412" i="20" s="1"/>
  <c r="I417" i="20"/>
  <c r="H417" i="20"/>
  <c r="G417" i="20"/>
  <c r="F417" i="20"/>
  <c r="F411" i="20" s="1"/>
  <c r="E411" i="20" s="1"/>
  <c r="I416" i="20"/>
  <c r="H416" i="20"/>
  <c r="G416" i="20"/>
  <c r="F416" i="20"/>
  <c r="I415" i="20"/>
  <c r="H415" i="20"/>
  <c r="G415" i="20"/>
  <c r="F415" i="20"/>
  <c r="F409" i="20" s="1"/>
  <c r="E409" i="20" s="1"/>
  <c r="I414" i="20"/>
  <c r="H414" i="20"/>
  <c r="G414" i="20"/>
  <c r="F414" i="20"/>
  <c r="E406" i="20"/>
  <c r="E405" i="20"/>
  <c r="E404" i="20"/>
  <c r="E403" i="20"/>
  <c r="E402" i="20"/>
  <c r="I401" i="20"/>
  <c r="H401" i="20"/>
  <c r="G401" i="20"/>
  <c r="F401" i="20"/>
  <c r="E400" i="20"/>
  <c r="E399" i="20"/>
  <c r="E398" i="20"/>
  <c r="E397" i="20"/>
  <c r="E396" i="20"/>
  <c r="I395" i="20"/>
  <c r="H395" i="20"/>
  <c r="G395" i="20"/>
  <c r="F395" i="20"/>
  <c r="E394" i="20"/>
  <c r="E393" i="20"/>
  <c r="E392" i="20"/>
  <c r="E391" i="20"/>
  <c r="E390" i="20"/>
  <c r="I389" i="20"/>
  <c r="H389" i="20"/>
  <c r="G389" i="20"/>
  <c r="F389" i="20"/>
  <c r="E388" i="20"/>
  <c r="E387" i="20"/>
  <c r="E386" i="20"/>
  <c r="E385" i="20"/>
  <c r="E384" i="20"/>
  <c r="I383" i="20"/>
  <c r="H383" i="20"/>
  <c r="G383" i="20"/>
  <c r="F383" i="20"/>
  <c r="E382" i="20"/>
  <c r="E381" i="20"/>
  <c r="E380" i="20"/>
  <c r="E379" i="20"/>
  <c r="E378" i="20"/>
  <c r="I377" i="20"/>
  <c r="H377" i="20"/>
  <c r="G377" i="20"/>
  <c r="F377" i="20"/>
  <c r="E376" i="20"/>
  <c r="E375" i="20"/>
  <c r="E374" i="20"/>
  <c r="E373" i="20"/>
  <c r="E372" i="20"/>
  <c r="I371" i="20"/>
  <c r="H371" i="20"/>
  <c r="G371" i="20"/>
  <c r="F371" i="20"/>
  <c r="E370" i="20"/>
  <c r="E369" i="20"/>
  <c r="E368" i="20"/>
  <c r="E367" i="20"/>
  <c r="E366" i="20"/>
  <c r="I365" i="20"/>
  <c r="H365" i="20"/>
  <c r="G365" i="20"/>
  <c r="F365" i="20"/>
  <c r="E364" i="20"/>
  <c r="E363" i="20"/>
  <c r="E362" i="20"/>
  <c r="E361" i="20"/>
  <c r="E360" i="20"/>
  <c r="I359" i="20"/>
  <c r="H359" i="20"/>
  <c r="G359" i="20"/>
  <c r="F359" i="20"/>
  <c r="E358" i="20"/>
  <c r="E357" i="20"/>
  <c r="E356" i="20"/>
  <c r="E355" i="20"/>
  <c r="E354" i="20"/>
  <c r="I353" i="20"/>
  <c r="H353" i="20"/>
  <c r="G353" i="20"/>
  <c r="F353" i="20"/>
  <c r="E352" i="20"/>
  <c r="E351" i="20"/>
  <c r="E350" i="20"/>
  <c r="E349" i="20"/>
  <c r="E348" i="20"/>
  <c r="I347" i="20"/>
  <c r="H347" i="20"/>
  <c r="G347" i="20"/>
  <c r="F347" i="20"/>
  <c r="E346" i="20"/>
  <c r="E345" i="20"/>
  <c r="E344" i="20"/>
  <c r="E343" i="20"/>
  <c r="E342" i="20"/>
  <c r="I341" i="20"/>
  <c r="H341" i="20"/>
  <c r="G341" i="20"/>
  <c r="F341" i="20"/>
  <c r="E340" i="20"/>
  <c r="E339" i="20"/>
  <c r="E338" i="20"/>
  <c r="E337" i="20"/>
  <c r="E336" i="20"/>
  <c r="I335" i="20"/>
  <c r="H335" i="20"/>
  <c r="G335" i="20"/>
  <c r="F335" i="20"/>
  <c r="E334" i="20"/>
  <c r="E333" i="20"/>
  <c r="E332" i="20"/>
  <c r="E331" i="20"/>
  <c r="E330" i="20"/>
  <c r="I329" i="20"/>
  <c r="H329" i="20"/>
  <c r="G329" i="20"/>
  <c r="F329" i="20"/>
  <c r="E328" i="20"/>
  <c r="E327" i="20"/>
  <c r="E326" i="20"/>
  <c r="E325" i="20"/>
  <c r="E324" i="20"/>
  <c r="I323" i="20"/>
  <c r="H323" i="20"/>
  <c r="G323" i="20"/>
  <c r="F323" i="20"/>
  <c r="E322" i="20"/>
  <c r="E321" i="20"/>
  <c r="E320" i="20"/>
  <c r="E319" i="20"/>
  <c r="E318" i="20"/>
  <c r="I317" i="20"/>
  <c r="H317" i="20"/>
  <c r="G317" i="20"/>
  <c r="F317" i="20"/>
  <c r="E316" i="20"/>
  <c r="E315" i="20"/>
  <c r="E314" i="20"/>
  <c r="E313" i="20"/>
  <c r="E312" i="20"/>
  <c r="I311" i="20"/>
  <c r="H311" i="20"/>
  <c r="G311" i="20"/>
  <c r="F311" i="20"/>
  <c r="E310" i="20"/>
  <c r="E309" i="20"/>
  <c r="E308" i="20"/>
  <c r="E307" i="20"/>
  <c r="E306" i="20"/>
  <c r="I305" i="20"/>
  <c r="H305" i="20"/>
  <c r="G305" i="20"/>
  <c r="F305" i="20"/>
  <c r="E304" i="20"/>
  <c r="E298" i="20" s="1"/>
  <c r="E303" i="20"/>
  <c r="E302" i="20"/>
  <c r="E301" i="20"/>
  <c r="E300" i="20"/>
  <c r="I299" i="20"/>
  <c r="H299" i="20"/>
  <c r="G299" i="20"/>
  <c r="F299" i="20"/>
  <c r="I298" i="20"/>
  <c r="H298" i="20"/>
  <c r="G298" i="20"/>
  <c r="G220" i="20"/>
  <c r="F298" i="20"/>
  <c r="I297" i="20"/>
  <c r="H297" i="20"/>
  <c r="H294" i="20"/>
  <c r="H295" i="20"/>
  <c r="H296" i="20"/>
  <c r="G297" i="20"/>
  <c r="F297" i="20"/>
  <c r="I296" i="20"/>
  <c r="I218" i="20"/>
  <c r="G296" i="20"/>
  <c r="F296" i="20"/>
  <c r="I295" i="20"/>
  <c r="G295" i="20"/>
  <c r="F295" i="20"/>
  <c r="F217" i="20"/>
  <c r="F211" i="20" s="1"/>
  <c r="I294" i="20"/>
  <c r="G294" i="20"/>
  <c r="F294" i="20"/>
  <c r="E292" i="20"/>
  <c r="E291" i="20"/>
  <c r="E290" i="20"/>
  <c r="E289" i="20"/>
  <c r="E288" i="20"/>
  <c r="I287" i="20"/>
  <c r="H287" i="20"/>
  <c r="G287" i="20"/>
  <c r="F287" i="20"/>
  <c r="E286" i="20"/>
  <c r="E285" i="20"/>
  <c r="E284" i="20"/>
  <c r="E283" i="20"/>
  <c r="E282" i="20"/>
  <c r="I281" i="20"/>
  <c r="H281" i="20"/>
  <c r="G281" i="20"/>
  <c r="F281" i="20"/>
  <c r="E280" i="20"/>
  <c r="E279" i="20"/>
  <c r="E278" i="20"/>
  <c r="E277" i="20"/>
  <c r="E276" i="20"/>
  <c r="I275" i="20"/>
  <c r="H275" i="20"/>
  <c r="G275" i="20"/>
  <c r="F275" i="20"/>
  <c r="E274" i="20"/>
  <c r="E273" i="20"/>
  <c r="E272" i="20"/>
  <c r="E271" i="20"/>
  <c r="E270" i="20"/>
  <c r="I269" i="20"/>
  <c r="H269" i="20"/>
  <c r="G269" i="20"/>
  <c r="F269" i="20"/>
  <c r="E268" i="20"/>
  <c r="E267" i="20"/>
  <c r="E266" i="20"/>
  <c r="E265" i="20"/>
  <c r="E264" i="20"/>
  <c r="I263" i="20"/>
  <c r="H263" i="20"/>
  <c r="G263" i="20"/>
  <c r="F263" i="20"/>
  <c r="E262" i="20"/>
  <c r="E261" i="20"/>
  <c r="E260" i="20"/>
  <c r="E259" i="20"/>
  <c r="E258" i="20"/>
  <c r="I257" i="20"/>
  <c r="H257" i="20"/>
  <c r="G257" i="20"/>
  <c r="F257" i="20"/>
  <c r="E256" i="20"/>
  <c r="E255" i="20"/>
  <c r="E254" i="20"/>
  <c r="E253" i="20"/>
  <c r="E252" i="20"/>
  <c r="I251" i="20"/>
  <c r="H251" i="20"/>
  <c r="G251" i="20"/>
  <c r="F251" i="20"/>
  <c r="E250" i="20"/>
  <c r="E249" i="20"/>
  <c r="E248" i="20"/>
  <c r="E247" i="20"/>
  <c r="E246" i="20"/>
  <c r="I245" i="20"/>
  <c r="H245" i="20"/>
  <c r="G245" i="20"/>
  <c r="F245" i="20"/>
  <c r="E244" i="20"/>
  <c r="E243" i="20"/>
  <c r="E242" i="20"/>
  <c r="E241" i="20"/>
  <c r="E240" i="20"/>
  <c r="I239" i="20"/>
  <c r="H239" i="20"/>
  <c r="G239" i="20"/>
  <c r="F239" i="20"/>
  <c r="E238" i="20"/>
  <c r="E237" i="20"/>
  <c r="E236" i="20"/>
  <c r="E235" i="20"/>
  <c r="E234" i="20"/>
  <c r="I233" i="20"/>
  <c r="H233" i="20"/>
  <c r="G233" i="20"/>
  <c r="F233" i="20"/>
  <c r="E232" i="20"/>
  <c r="E231" i="20"/>
  <c r="E230" i="20"/>
  <c r="E229" i="20"/>
  <c r="E228" i="20"/>
  <c r="I227" i="20"/>
  <c r="H227" i="20"/>
  <c r="G227" i="20"/>
  <c r="F227" i="20"/>
  <c r="E226" i="20"/>
  <c r="E225" i="20"/>
  <c r="E224" i="20"/>
  <c r="E223" i="20"/>
  <c r="E222" i="20"/>
  <c r="I221" i="20"/>
  <c r="H221" i="20"/>
  <c r="G221" i="20"/>
  <c r="F221" i="20"/>
  <c r="I220" i="20"/>
  <c r="H220" i="20"/>
  <c r="F220" i="20"/>
  <c r="I219" i="20"/>
  <c r="H219" i="20"/>
  <c r="H213" i="20" s="1"/>
  <c r="G219" i="20"/>
  <c r="G213" i="20" s="1"/>
  <c r="F219" i="20"/>
  <c r="H218" i="20"/>
  <c r="G218" i="20"/>
  <c r="G212" i="20" s="1"/>
  <c r="F218" i="20"/>
  <c r="I217" i="20"/>
  <c r="H217" i="20"/>
  <c r="G217" i="20"/>
  <c r="I216" i="20"/>
  <c r="H216" i="20"/>
  <c r="G216" i="20"/>
  <c r="F216" i="20"/>
  <c r="E216" i="20" s="1"/>
  <c r="E208" i="20"/>
  <c r="E207" i="20"/>
  <c r="E206" i="20"/>
  <c r="E205" i="20"/>
  <c r="E204" i="20"/>
  <c r="I203" i="20"/>
  <c r="H203" i="20"/>
  <c r="G203" i="20"/>
  <c r="F203" i="20"/>
  <c r="E202" i="20"/>
  <c r="E201" i="20"/>
  <c r="E200" i="20"/>
  <c r="E199" i="20"/>
  <c r="E198" i="20"/>
  <c r="I197" i="20"/>
  <c r="H197" i="20"/>
  <c r="G197" i="20"/>
  <c r="F197" i="20"/>
  <c r="E196" i="20"/>
  <c r="E195" i="20"/>
  <c r="E194" i="20"/>
  <c r="E193" i="20"/>
  <c r="E192" i="20"/>
  <c r="I191" i="20"/>
  <c r="H191" i="20"/>
  <c r="G191" i="20"/>
  <c r="F191" i="20"/>
  <c r="E190" i="20"/>
  <c r="E189" i="20"/>
  <c r="E188" i="20"/>
  <c r="E187" i="20"/>
  <c r="E186" i="20"/>
  <c r="I185" i="20"/>
  <c r="H185" i="20"/>
  <c r="G185" i="20"/>
  <c r="F185" i="20"/>
  <c r="I184" i="20"/>
  <c r="H184" i="20"/>
  <c r="F184" i="20"/>
  <c r="G184" i="20"/>
  <c r="I183" i="20"/>
  <c r="H183" i="20"/>
  <c r="G183" i="20"/>
  <c r="F183" i="20"/>
  <c r="I182" i="20"/>
  <c r="H182" i="20"/>
  <c r="G182" i="20"/>
  <c r="F182" i="20"/>
  <c r="E182" i="20" s="1"/>
  <c r="I181" i="20"/>
  <c r="H181" i="20"/>
  <c r="G181" i="20"/>
  <c r="F181" i="20"/>
  <c r="I180" i="20"/>
  <c r="H180" i="20"/>
  <c r="G180" i="20"/>
  <c r="F180" i="20"/>
  <c r="E178" i="20"/>
  <c r="E177" i="20"/>
  <c r="E176" i="20"/>
  <c r="E175" i="20"/>
  <c r="E174" i="20"/>
  <c r="I173" i="20"/>
  <c r="H173" i="20"/>
  <c r="G173" i="20"/>
  <c r="F173" i="20"/>
  <c r="E172" i="20"/>
  <c r="E171" i="20"/>
  <c r="E170" i="20"/>
  <c r="E169" i="20"/>
  <c r="E168" i="20"/>
  <c r="I167" i="20"/>
  <c r="H167" i="20"/>
  <c r="G167" i="20"/>
  <c r="F167" i="20"/>
  <c r="E166" i="20"/>
  <c r="E165" i="20"/>
  <c r="E164" i="20"/>
  <c r="E163" i="20"/>
  <c r="E162" i="20"/>
  <c r="I161" i="20"/>
  <c r="H161" i="20"/>
  <c r="G161" i="20"/>
  <c r="F161" i="20"/>
  <c r="E160" i="20"/>
  <c r="E159" i="20"/>
  <c r="I158" i="20"/>
  <c r="I152" i="20" s="1"/>
  <c r="H158" i="20"/>
  <c r="G158" i="20"/>
  <c r="G152" i="20" s="1"/>
  <c r="I157" i="20"/>
  <c r="I151" i="20" s="1"/>
  <c r="H157" i="20"/>
  <c r="H151" i="20" s="1"/>
  <c r="G157" i="20"/>
  <c r="I156" i="20"/>
  <c r="I150" i="20" s="1"/>
  <c r="H156" i="20"/>
  <c r="H150" i="20" s="1"/>
  <c r="G156" i="20"/>
  <c r="G150" i="20" s="1"/>
  <c r="F155" i="20"/>
  <c r="I154" i="20"/>
  <c r="H154" i="20"/>
  <c r="G154" i="20"/>
  <c r="F154" i="20"/>
  <c r="I153" i="20"/>
  <c r="H153" i="20"/>
  <c r="G153" i="20"/>
  <c r="F153" i="20"/>
  <c r="F152" i="20"/>
  <c r="F151" i="20"/>
  <c r="F150" i="20"/>
  <c r="E148" i="20"/>
  <c r="E147" i="20"/>
  <c r="E146" i="20"/>
  <c r="E144" i="20"/>
  <c r="I143" i="20"/>
  <c r="H143" i="20"/>
  <c r="G143" i="20"/>
  <c r="F143" i="20"/>
  <c r="E142" i="20"/>
  <c r="E141" i="20"/>
  <c r="E140" i="20"/>
  <c r="E139" i="20"/>
  <c r="E138" i="20"/>
  <c r="I137" i="20"/>
  <c r="H137" i="20"/>
  <c r="G137" i="20"/>
  <c r="F137" i="20"/>
  <c r="E136" i="20"/>
  <c r="E135" i="20"/>
  <c r="E134" i="20"/>
  <c r="E133" i="20"/>
  <c r="E132" i="20"/>
  <c r="I131" i="20"/>
  <c r="H131" i="20"/>
  <c r="G131" i="20"/>
  <c r="F131" i="20"/>
  <c r="E130" i="20"/>
  <c r="E129" i="20"/>
  <c r="E128" i="20"/>
  <c r="E127" i="20"/>
  <c r="E126" i="20"/>
  <c r="I125" i="20"/>
  <c r="H125" i="20"/>
  <c r="G125" i="20"/>
  <c r="F125" i="20"/>
  <c r="E124" i="20"/>
  <c r="E123" i="20"/>
  <c r="E122" i="20"/>
  <c r="E121" i="20"/>
  <c r="E120" i="20"/>
  <c r="I119" i="20"/>
  <c r="H119" i="20"/>
  <c r="G119" i="20"/>
  <c r="F119" i="20"/>
  <c r="E118" i="20"/>
  <c r="E117" i="20"/>
  <c r="E116" i="20"/>
  <c r="E115" i="20"/>
  <c r="E114" i="20"/>
  <c r="I113" i="20"/>
  <c r="H113" i="20"/>
  <c r="G113" i="20"/>
  <c r="F113" i="20"/>
  <c r="E112" i="20"/>
  <c r="E111" i="20"/>
  <c r="E110" i="20"/>
  <c r="E109" i="20"/>
  <c r="E108" i="20"/>
  <c r="I107" i="20"/>
  <c r="H107" i="20"/>
  <c r="G107" i="20"/>
  <c r="F107" i="20"/>
  <c r="E106" i="20"/>
  <c r="E105" i="20"/>
  <c r="E104" i="20"/>
  <c r="E103" i="20"/>
  <c r="E102" i="20"/>
  <c r="I101" i="20"/>
  <c r="H101" i="20"/>
  <c r="G101" i="20"/>
  <c r="F101" i="20"/>
  <c r="I100" i="20"/>
  <c r="I94" i="20" s="1"/>
  <c r="H100" i="20"/>
  <c r="H94" i="20" s="1"/>
  <c r="G100" i="20"/>
  <c r="I99" i="20"/>
  <c r="I93" i="20" s="1"/>
  <c r="H99" i="20"/>
  <c r="H93" i="20" s="1"/>
  <c r="G99" i="20"/>
  <c r="I98" i="20"/>
  <c r="I92" i="20" s="1"/>
  <c r="H98" i="20"/>
  <c r="H92" i="20" s="1"/>
  <c r="G98" i="20"/>
  <c r="G92" i="20" s="1"/>
  <c r="I97" i="20"/>
  <c r="H97" i="20"/>
  <c r="H91" i="20" s="1"/>
  <c r="G97" i="20"/>
  <c r="G91" i="20" s="1"/>
  <c r="I96" i="20"/>
  <c r="H96" i="20"/>
  <c r="H90" i="20" s="1"/>
  <c r="G96" i="20"/>
  <c r="G90" i="20" s="1"/>
  <c r="F95" i="20"/>
  <c r="F94" i="20"/>
  <c r="F93" i="20"/>
  <c r="F92" i="20"/>
  <c r="F91" i="20"/>
  <c r="F90" i="20"/>
  <c r="E82" i="20"/>
  <c r="E81" i="20"/>
  <c r="E80" i="20"/>
  <c r="E79" i="20"/>
  <c r="E78" i="20"/>
  <c r="I77" i="20"/>
  <c r="H77" i="20"/>
  <c r="G77" i="20"/>
  <c r="F77" i="20"/>
  <c r="E76" i="20"/>
  <c r="E75" i="20"/>
  <c r="E74" i="20"/>
  <c r="E73" i="20"/>
  <c r="E72" i="20"/>
  <c r="I71" i="20"/>
  <c r="H71" i="20"/>
  <c r="G71" i="20"/>
  <c r="F71" i="20"/>
  <c r="E70" i="20"/>
  <c r="E69" i="20"/>
  <c r="E68" i="20"/>
  <c r="E67" i="20"/>
  <c r="E66" i="20"/>
  <c r="I65" i="20"/>
  <c r="H65" i="20"/>
  <c r="G65" i="20"/>
  <c r="F65" i="20"/>
  <c r="I64" i="20"/>
  <c r="H64" i="20"/>
  <c r="G64" i="20"/>
  <c r="G22" i="20"/>
  <c r="F64" i="20"/>
  <c r="I63" i="20"/>
  <c r="I21" i="20"/>
  <c r="H63" i="20"/>
  <c r="G63" i="20"/>
  <c r="F63" i="20"/>
  <c r="I62" i="20"/>
  <c r="H62" i="20"/>
  <c r="G62" i="20"/>
  <c r="F62" i="20"/>
  <c r="I61" i="20"/>
  <c r="H61" i="20"/>
  <c r="G61" i="20"/>
  <c r="F61" i="20"/>
  <c r="I60" i="20"/>
  <c r="H60" i="20"/>
  <c r="H18" i="20"/>
  <c r="H19" i="20"/>
  <c r="H20" i="20"/>
  <c r="H21" i="20"/>
  <c r="H22" i="20"/>
  <c r="G60" i="20"/>
  <c r="F60" i="20"/>
  <c r="E58" i="20"/>
  <c r="E57" i="20"/>
  <c r="E56" i="20"/>
  <c r="E55" i="20"/>
  <c r="E54" i="20"/>
  <c r="I53" i="20"/>
  <c r="H53" i="20"/>
  <c r="G53" i="20"/>
  <c r="F53" i="20"/>
  <c r="E52" i="20"/>
  <c r="E51" i="20"/>
  <c r="E50" i="20"/>
  <c r="E49" i="20"/>
  <c r="E48" i="20"/>
  <c r="I47" i="20"/>
  <c r="H47" i="20"/>
  <c r="G47" i="20"/>
  <c r="F47" i="20"/>
  <c r="E46" i="20"/>
  <c r="E45" i="20"/>
  <c r="E44" i="20"/>
  <c r="E43" i="20"/>
  <c r="E42" i="20"/>
  <c r="I41" i="20"/>
  <c r="H41" i="20"/>
  <c r="G41" i="20"/>
  <c r="F41" i="20"/>
  <c r="E40" i="20"/>
  <c r="E39" i="20"/>
  <c r="E38" i="20"/>
  <c r="E37" i="20"/>
  <c r="E36" i="20"/>
  <c r="I35" i="20"/>
  <c r="H35" i="20"/>
  <c r="G35" i="20"/>
  <c r="F35" i="20"/>
  <c r="E34" i="20"/>
  <c r="E33" i="20"/>
  <c r="E32" i="20"/>
  <c r="E31" i="20"/>
  <c r="E30" i="20"/>
  <c r="I29" i="20"/>
  <c r="H29" i="20"/>
  <c r="G29" i="20"/>
  <c r="F29" i="20"/>
  <c r="E28" i="20"/>
  <c r="E27" i="20"/>
  <c r="E26" i="20"/>
  <c r="E25" i="20"/>
  <c r="E24" i="20"/>
  <c r="I23" i="20"/>
  <c r="H23" i="20"/>
  <c r="F23" i="20"/>
  <c r="G23" i="20"/>
  <c r="I22" i="20"/>
  <c r="F22" i="20"/>
  <c r="G21" i="20"/>
  <c r="G15" i="20" s="1"/>
  <c r="F21" i="20"/>
  <c r="I20" i="20"/>
  <c r="G20" i="20"/>
  <c r="F20" i="20"/>
  <c r="I19" i="20"/>
  <c r="G19" i="20"/>
  <c r="F19" i="20"/>
  <c r="I18" i="20"/>
  <c r="G18" i="20"/>
  <c r="F18" i="20"/>
  <c r="L180" i="25"/>
  <c r="L173" i="25" s="1"/>
  <c r="J180" i="25"/>
  <c r="J173" i="25" s="1"/>
  <c r="L179" i="25"/>
  <c r="J179" i="25"/>
  <c r="H178" i="25"/>
  <c r="H177" i="25"/>
  <c r="H176" i="25"/>
  <c r="H175" i="25"/>
  <c r="H174" i="25"/>
  <c r="K173" i="25"/>
  <c r="I173" i="25"/>
  <c r="L172" i="25"/>
  <c r="K172" i="25"/>
  <c r="J172" i="25"/>
  <c r="I172" i="25"/>
  <c r="L171" i="25"/>
  <c r="K171" i="25"/>
  <c r="I171" i="25"/>
  <c r="J171" i="25"/>
  <c r="L170" i="25"/>
  <c r="K170" i="25"/>
  <c r="J170" i="25"/>
  <c r="I170" i="25"/>
  <c r="L169" i="25"/>
  <c r="K169" i="25"/>
  <c r="J169" i="25"/>
  <c r="I169" i="25"/>
  <c r="L168" i="25"/>
  <c r="K168" i="25"/>
  <c r="J168" i="25"/>
  <c r="I168" i="25"/>
  <c r="H164" i="25"/>
  <c r="L163" i="25"/>
  <c r="K163" i="25"/>
  <c r="J163" i="25"/>
  <c r="I163" i="25"/>
  <c r="L162" i="25"/>
  <c r="K162" i="25"/>
  <c r="J162" i="25"/>
  <c r="I162" i="25"/>
  <c r="L161" i="25"/>
  <c r="K161" i="25"/>
  <c r="J161" i="25"/>
  <c r="L160" i="25"/>
  <c r="K160" i="25"/>
  <c r="J160" i="25"/>
  <c r="I160" i="25"/>
  <c r="H159" i="25"/>
  <c r="H158" i="25"/>
  <c r="L156" i="25"/>
  <c r="K156" i="25"/>
  <c r="J156" i="25"/>
  <c r="I156" i="25"/>
  <c r="L155" i="25"/>
  <c r="K155" i="25"/>
  <c r="J155" i="25"/>
  <c r="I155" i="25"/>
  <c r="L154" i="25"/>
  <c r="K154" i="25"/>
  <c r="J154" i="25"/>
  <c r="I154" i="25"/>
  <c r="L153" i="25"/>
  <c r="K153" i="25"/>
  <c r="J153" i="25"/>
  <c r="L152" i="25"/>
  <c r="K152" i="25"/>
  <c r="I152" i="25"/>
  <c r="J152" i="25"/>
  <c r="H151" i="25"/>
  <c r="H150" i="25"/>
  <c r="L148" i="25"/>
  <c r="K148" i="25"/>
  <c r="J148" i="25"/>
  <c r="I148" i="25"/>
  <c r="L147" i="25"/>
  <c r="K147" i="25"/>
  <c r="J147" i="25"/>
  <c r="I147" i="25"/>
  <c r="L146" i="25"/>
  <c r="K146" i="25"/>
  <c r="J146" i="25"/>
  <c r="I146" i="25"/>
  <c r="L145" i="25"/>
  <c r="J145" i="25"/>
  <c r="L144" i="25"/>
  <c r="K144" i="25"/>
  <c r="J144" i="25"/>
  <c r="I144" i="25"/>
  <c r="H143" i="25"/>
  <c r="H142" i="25"/>
  <c r="L140" i="25"/>
  <c r="K140" i="25"/>
  <c r="J140" i="25"/>
  <c r="I140" i="25"/>
  <c r="L139" i="25"/>
  <c r="K139" i="25"/>
  <c r="J139" i="25"/>
  <c r="I139" i="25"/>
  <c r="L138" i="25"/>
  <c r="K138" i="25"/>
  <c r="J138" i="25"/>
  <c r="I138" i="25"/>
  <c r="L137" i="25"/>
  <c r="K137" i="25"/>
  <c r="J137" i="25"/>
  <c r="I137" i="25"/>
  <c r="L136" i="25"/>
  <c r="K136" i="25"/>
  <c r="J136" i="25"/>
  <c r="I136" i="25"/>
  <c r="H135" i="25"/>
  <c r="H134" i="25"/>
  <c r="H132" i="25"/>
  <c r="L131" i="25"/>
  <c r="K131" i="25"/>
  <c r="J131" i="25"/>
  <c r="I131" i="25"/>
  <c r="L130" i="25"/>
  <c r="K130" i="25"/>
  <c r="J130" i="25"/>
  <c r="I130" i="25"/>
  <c r="L129" i="25"/>
  <c r="K129" i="25"/>
  <c r="J129" i="25"/>
  <c r="I129" i="25"/>
  <c r="L128" i="25"/>
  <c r="K128" i="25"/>
  <c r="J128" i="25"/>
  <c r="I128" i="25"/>
  <c r="L127" i="25"/>
  <c r="K127" i="25"/>
  <c r="J127" i="25"/>
  <c r="J43" i="25"/>
  <c r="J95" i="25"/>
  <c r="J111" i="25"/>
  <c r="J119" i="25"/>
  <c r="I127" i="25"/>
  <c r="H126" i="25"/>
  <c r="H125" i="25"/>
  <c r="L123" i="25"/>
  <c r="K123" i="25"/>
  <c r="J123" i="25"/>
  <c r="I123" i="25"/>
  <c r="L122" i="25"/>
  <c r="K122" i="25"/>
  <c r="J122" i="25"/>
  <c r="I122" i="25"/>
  <c r="L121" i="25"/>
  <c r="K121" i="25"/>
  <c r="J121" i="25"/>
  <c r="I121" i="25"/>
  <c r="L120" i="25"/>
  <c r="K120" i="25"/>
  <c r="J120" i="25"/>
  <c r="I120" i="25"/>
  <c r="L119" i="25"/>
  <c r="K119" i="25"/>
  <c r="I119" i="25"/>
  <c r="H118" i="25"/>
  <c r="H117" i="25"/>
  <c r="L115" i="25"/>
  <c r="H115" i="25" s="1"/>
  <c r="L114" i="25"/>
  <c r="K114" i="25"/>
  <c r="J114" i="25"/>
  <c r="I114" i="25"/>
  <c r="L113" i="25"/>
  <c r="K113" i="25"/>
  <c r="J113" i="25"/>
  <c r="I113" i="25"/>
  <c r="L112" i="25"/>
  <c r="J112" i="25"/>
  <c r="I112" i="25"/>
  <c r="L111" i="25"/>
  <c r="I111" i="25"/>
  <c r="H110" i="25"/>
  <c r="H109" i="25"/>
  <c r="H107" i="25"/>
  <c r="H106" i="25"/>
  <c r="H105" i="25"/>
  <c r="H104" i="25"/>
  <c r="H103" i="25"/>
  <c r="H102" i="25"/>
  <c r="H101" i="25"/>
  <c r="L100" i="25"/>
  <c r="K100" i="25"/>
  <c r="J100" i="25"/>
  <c r="I100" i="25"/>
  <c r="L99" i="25"/>
  <c r="K99" i="25"/>
  <c r="J99" i="25"/>
  <c r="I99" i="25"/>
  <c r="L98" i="25"/>
  <c r="K98" i="25"/>
  <c r="K46" i="25"/>
  <c r="J98" i="25"/>
  <c r="I98" i="25"/>
  <c r="L97" i="25"/>
  <c r="K97" i="25"/>
  <c r="J97" i="25"/>
  <c r="I97" i="25"/>
  <c r="L96" i="25"/>
  <c r="J96" i="25"/>
  <c r="I96" i="25"/>
  <c r="L95" i="25"/>
  <c r="K95" i="25"/>
  <c r="I95" i="25"/>
  <c r="H94" i="25"/>
  <c r="H93" i="25"/>
  <c r="H91" i="25"/>
  <c r="H90" i="25"/>
  <c r="H89" i="25"/>
  <c r="H88" i="25"/>
  <c r="I87" i="25"/>
  <c r="H87" i="25" s="1"/>
  <c r="H86" i="25"/>
  <c r="H85" i="25"/>
  <c r="L84" i="25"/>
  <c r="K84" i="25"/>
  <c r="J84" i="25"/>
  <c r="H83" i="25"/>
  <c r="H82" i="25"/>
  <c r="H81" i="25"/>
  <c r="H80" i="25"/>
  <c r="H79" i="25"/>
  <c r="H78" i="25"/>
  <c r="H77" i="25"/>
  <c r="L76" i="25"/>
  <c r="K76" i="25"/>
  <c r="J76" i="25"/>
  <c r="I76" i="25"/>
  <c r="H75" i="25"/>
  <c r="H74" i="25"/>
  <c r="H73" i="25"/>
  <c r="H72" i="25"/>
  <c r="H71" i="25"/>
  <c r="H70" i="25"/>
  <c r="H69" i="25"/>
  <c r="H68" i="25"/>
  <c r="L67" i="25"/>
  <c r="K67" i="25"/>
  <c r="J67" i="25"/>
  <c r="I67" i="25"/>
  <c r="H66" i="25"/>
  <c r="H65" i="25"/>
  <c r="H64" i="25"/>
  <c r="H63" i="25"/>
  <c r="H62" i="25"/>
  <c r="I61" i="25"/>
  <c r="H61" i="25" s="1"/>
  <c r="H60" i="25"/>
  <c r="H59" i="25"/>
  <c r="K58" i="25"/>
  <c r="J58" i="25"/>
  <c r="H57" i="25"/>
  <c r="H56" i="25"/>
  <c r="H55" i="25"/>
  <c r="H54" i="25"/>
  <c r="H53" i="25"/>
  <c r="H52" i="25"/>
  <c r="H51" i="25"/>
  <c r="H50" i="25"/>
  <c r="L49" i="25"/>
  <c r="K49" i="25"/>
  <c r="J49" i="25"/>
  <c r="H48" i="25"/>
  <c r="L47" i="25"/>
  <c r="K47" i="25"/>
  <c r="J47" i="25"/>
  <c r="I47" i="25"/>
  <c r="L46" i="25"/>
  <c r="J46" i="25"/>
  <c r="I46" i="25"/>
  <c r="L45" i="25"/>
  <c r="K45" i="25"/>
  <c r="J45" i="25"/>
  <c r="I45" i="25"/>
  <c r="L44" i="25"/>
  <c r="K44" i="25"/>
  <c r="J44" i="25"/>
  <c r="I44" i="25"/>
  <c r="L43" i="25"/>
  <c r="K43" i="25"/>
  <c r="I43" i="25"/>
  <c r="H42" i="25"/>
  <c r="H41" i="25"/>
  <c r="H39" i="25"/>
  <c r="H38" i="25"/>
  <c r="H37" i="25"/>
  <c r="H36" i="25"/>
  <c r="H35" i="25"/>
  <c r="H34" i="25"/>
  <c r="H33" i="25"/>
  <c r="L32" i="25"/>
  <c r="K32" i="25"/>
  <c r="J32" i="25"/>
  <c r="H31" i="25"/>
  <c r="H30" i="25"/>
  <c r="H29" i="25"/>
  <c r="H28" i="25"/>
  <c r="H27" i="25"/>
  <c r="H26" i="25"/>
  <c r="H25" i="25"/>
  <c r="H24" i="25"/>
  <c r="L23" i="25"/>
  <c r="K23" i="25"/>
  <c r="J23" i="25"/>
  <c r="I23" i="25"/>
  <c r="L17" i="25"/>
  <c r="L9" i="25" s="1"/>
  <c r="K17" i="25"/>
  <c r="K9" i="25" s="1"/>
  <c r="J17" i="25"/>
  <c r="J9" i="25" s="1"/>
  <c r="I17" i="25"/>
  <c r="I9" i="25" s="1"/>
  <c r="L16" i="25"/>
  <c r="L8" i="25" s="1"/>
  <c r="K16" i="25"/>
  <c r="K8" i="25" s="1"/>
  <c r="J16" i="25"/>
  <c r="J8" i="25" s="1"/>
  <c r="I16" i="25"/>
  <c r="I8" i="25" s="1"/>
  <c r="R11" i="25"/>
  <c r="E422" i="21"/>
  <c r="E416" i="21" s="1"/>
  <c r="G164" i="21"/>
  <c r="G158" i="21" s="1"/>
  <c r="H164" i="21"/>
  <c r="H158" i="21" s="1"/>
  <c r="I164" i="21"/>
  <c r="E152" i="21"/>
  <c r="I134" i="24"/>
  <c r="H134" i="24"/>
  <c r="G134" i="24"/>
  <c r="F134" i="24"/>
  <c r="I133" i="24"/>
  <c r="H133" i="24"/>
  <c r="G133" i="24"/>
  <c r="F133" i="24"/>
  <c r="I132" i="24"/>
  <c r="H132" i="24"/>
  <c r="G132" i="24"/>
  <c r="F132" i="24"/>
  <c r="I131" i="24"/>
  <c r="H131" i="24"/>
  <c r="G131" i="24"/>
  <c r="F131" i="24"/>
  <c r="I130" i="24"/>
  <c r="H130" i="24"/>
  <c r="G130" i="24"/>
  <c r="F130" i="24"/>
  <c r="I129" i="24"/>
  <c r="H129" i="24"/>
  <c r="H121" i="24" s="1"/>
  <c r="G129" i="24"/>
  <c r="G121" i="24" s="1"/>
  <c r="F129" i="24"/>
  <c r="I128" i="24"/>
  <c r="H128" i="24"/>
  <c r="G128" i="24"/>
  <c r="F128" i="24"/>
  <c r="E128" i="24"/>
  <c r="I126" i="24"/>
  <c r="H126" i="24"/>
  <c r="G126" i="24"/>
  <c r="F126" i="24"/>
  <c r="E126" i="24"/>
  <c r="I125" i="24"/>
  <c r="H125" i="24"/>
  <c r="G125" i="24"/>
  <c r="F125" i="24"/>
  <c r="E125" i="24"/>
  <c r="I124" i="24"/>
  <c r="H124" i="24"/>
  <c r="G124" i="24"/>
  <c r="F124" i="24"/>
  <c r="E124" i="24"/>
  <c r="I123" i="24"/>
  <c r="H123" i="24"/>
  <c r="G123" i="24"/>
  <c r="F123" i="24"/>
  <c r="E123" i="24"/>
  <c r="I122" i="24"/>
  <c r="H122" i="24"/>
  <c r="G122" i="24"/>
  <c r="F122" i="24"/>
  <c r="E122" i="24"/>
  <c r="I120" i="24"/>
  <c r="H120" i="24"/>
  <c r="G120" i="24"/>
  <c r="F120" i="24"/>
  <c r="E120" i="24"/>
  <c r="I118" i="24"/>
  <c r="H118" i="24"/>
  <c r="G118" i="24"/>
  <c r="F118" i="24"/>
  <c r="I117" i="24"/>
  <c r="H117" i="24"/>
  <c r="G117" i="24"/>
  <c r="F117" i="24"/>
  <c r="I116" i="24"/>
  <c r="H116" i="24"/>
  <c r="G116" i="24"/>
  <c r="F116" i="24"/>
  <c r="I115" i="24"/>
  <c r="H115" i="24"/>
  <c r="G115" i="24"/>
  <c r="F115" i="24"/>
  <c r="I114" i="24"/>
  <c r="H114" i="24"/>
  <c r="G114" i="24"/>
  <c r="F114" i="24"/>
  <c r="E113" i="24"/>
  <c r="E112" i="24"/>
  <c r="I110" i="24"/>
  <c r="H110" i="24"/>
  <c r="G110" i="24"/>
  <c r="F110" i="24"/>
  <c r="I109" i="24"/>
  <c r="H109" i="24"/>
  <c r="G109" i="24"/>
  <c r="F109" i="24"/>
  <c r="I108" i="24"/>
  <c r="H108" i="24"/>
  <c r="G108" i="24"/>
  <c r="F108" i="24"/>
  <c r="I107" i="24"/>
  <c r="H107" i="24"/>
  <c r="G107" i="24"/>
  <c r="F107" i="24"/>
  <c r="I106" i="24"/>
  <c r="H106" i="24"/>
  <c r="G106" i="24"/>
  <c r="F106" i="24"/>
  <c r="I105" i="24"/>
  <c r="H105" i="24"/>
  <c r="G105" i="24"/>
  <c r="F105" i="24"/>
  <c r="E105" i="24"/>
  <c r="I104" i="24"/>
  <c r="H104" i="24"/>
  <c r="G104" i="24"/>
  <c r="F104" i="24"/>
  <c r="E104" i="24"/>
  <c r="I102" i="24"/>
  <c r="H102" i="24"/>
  <c r="G102" i="24"/>
  <c r="F102" i="24"/>
  <c r="E102" i="24"/>
  <c r="I101" i="24"/>
  <c r="H101" i="24"/>
  <c r="G101" i="24"/>
  <c r="F101" i="24"/>
  <c r="E101" i="24"/>
  <c r="I100" i="24"/>
  <c r="H100" i="24"/>
  <c r="G100" i="24"/>
  <c r="F100" i="24"/>
  <c r="E100" i="24"/>
  <c r="I99" i="24"/>
  <c r="H99" i="24"/>
  <c r="G99" i="24"/>
  <c r="F99" i="24"/>
  <c r="E99" i="24"/>
  <c r="I98" i="24"/>
  <c r="H98" i="24"/>
  <c r="G98" i="24"/>
  <c r="F98" i="24"/>
  <c r="E98" i="24"/>
  <c r="I97" i="24"/>
  <c r="H97" i="24"/>
  <c r="G97" i="24"/>
  <c r="F97" i="24"/>
  <c r="I96" i="24"/>
  <c r="H96" i="24"/>
  <c r="G96" i="24"/>
  <c r="F96" i="24"/>
  <c r="I94" i="24"/>
  <c r="H94" i="24"/>
  <c r="G94" i="24"/>
  <c r="F94" i="24"/>
  <c r="E94" i="24"/>
  <c r="I93" i="24"/>
  <c r="H93" i="24"/>
  <c r="G93" i="24"/>
  <c r="F93" i="24"/>
  <c r="E93" i="24"/>
  <c r="I92" i="24"/>
  <c r="H92" i="24"/>
  <c r="G92" i="24"/>
  <c r="F92" i="24"/>
  <c r="E92" i="24"/>
  <c r="I91" i="24"/>
  <c r="H91" i="24"/>
  <c r="G91" i="24"/>
  <c r="F91" i="24"/>
  <c r="E91" i="24"/>
  <c r="I90" i="24"/>
  <c r="H90" i="24"/>
  <c r="G90" i="24"/>
  <c r="F90" i="24"/>
  <c r="E90" i="24"/>
  <c r="I89" i="24"/>
  <c r="H89" i="24"/>
  <c r="G89" i="24"/>
  <c r="F89" i="24"/>
  <c r="I88" i="24"/>
  <c r="I8" i="24" s="1"/>
  <c r="I24" i="24" s="1"/>
  <c r="H88" i="24"/>
  <c r="G88" i="24"/>
  <c r="F88" i="24"/>
  <c r="I86" i="24"/>
  <c r="H86" i="24"/>
  <c r="G86" i="24"/>
  <c r="F86" i="24"/>
  <c r="I85" i="24"/>
  <c r="H85" i="24"/>
  <c r="G85" i="24"/>
  <c r="F85" i="24"/>
  <c r="I84" i="24"/>
  <c r="H84" i="24"/>
  <c r="G84" i="24"/>
  <c r="F84" i="24"/>
  <c r="I83" i="24"/>
  <c r="H83" i="24"/>
  <c r="G83" i="24"/>
  <c r="F83" i="24"/>
  <c r="I82" i="24"/>
  <c r="H82" i="24"/>
  <c r="G82" i="24"/>
  <c r="F82" i="24"/>
  <c r="I81" i="24"/>
  <c r="H81" i="24"/>
  <c r="G81" i="24"/>
  <c r="F81" i="24"/>
  <c r="E81" i="24"/>
  <c r="I80" i="24"/>
  <c r="H80" i="24"/>
  <c r="G80" i="24"/>
  <c r="F80" i="24"/>
  <c r="E80" i="24"/>
  <c r="I78" i="24"/>
  <c r="H78" i="24"/>
  <c r="G78" i="24"/>
  <c r="F78" i="24"/>
  <c r="I77" i="24"/>
  <c r="H77" i="24"/>
  <c r="G77" i="24"/>
  <c r="F77" i="24"/>
  <c r="I76" i="24"/>
  <c r="H76" i="24"/>
  <c r="G76" i="24"/>
  <c r="F76" i="24"/>
  <c r="I75" i="24"/>
  <c r="H75" i="24"/>
  <c r="G75" i="24"/>
  <c r="F75" i="24"/>
  <c r="I74" i="24"/>
  <c r="H74" i="24"/>
  <c r="G74" i="24"/>
  <c r="F74" i="24"/>
  <c r="I73" i="24"/>
  <c r="H73" i="24"/>
  <c r="G73" i="24"/>
  <c r="F73" i="24"/>
  <c r="E73" i="24"/>
  <c r="I72" i="24"/>
  <c r="H72" i="24"/>
  <c r="G72" i="24"/>
  <c r="F72" i="24"/>
  <c r="E72" i="24"/>
  <c r="I70" i="24"/>
  <c r="H70" i="24"/>
  <c r="G70" i="24"/>
  <c r="F70" i="24"/>
  <c r="I69" i="24"/>
  <c r="H69" i="24"/>
  <c r="G69" i="24"/>
  <c r="F69" i="24"/>
  <c r="I68" i="24"/>
  <c r="H68" i="24"/>
  <c r="G68" i="24"/>
  <c r="F68" i="24"/>
  <c r="I67" i="24"/>
  <c r="H67" i="24"/>
  <c r="G67" i="24"/>
  <c r="F67" i="24"/>
  <c r="I66" i="24"/>
  <c r="H66" i="24"/>
  <c r="G66" i="24"/>
  <c r="F66" i="24"/>
  <c r="I65" i="24"/>
  <c r="H65" i="24"/>
  <c r="G65" i="24"/>
  <c r="F65" i="24"/>
  <c r="E65" i="24"/>
  <c r="I64" i="24"/>
  <c r="H64" i="24"/>
  <c r="G64" i="24"/>
  <c r="F64" i="24"/>
  <c r="E64" i="24"/>
  <c r="I62" i="24"/>
  <c r="H62" i="24"/>
  <c r="G62" i="24"/>
  <c r="F62" i="24"/>
  <c r="I61" i="24"/>
  <c r="H61" i="24"/>
  <c r="G61" i="24"/>
  <c r="F61" i="24"/>
  <c r="I60" i="24"/>
  <c r="H60" i="24"/>
  <c r="G60" i="24"/>
  <c r="F60" i="24"/>
  <c r="I59" i="24"/>
  <c r="H59" i="24"/>
  <c r="G59" i="24"/>
  <c r="F59" i="24"/>
  <c r="I58" i="24"/>
  <c r="H58" i="24"/>
  <c r="G58" i="24"/>
  <c r="F58" i="24"/>
  <c r="I57" i="24"/>
  <c r="H57" i="24"/>
  <c r="G57" i="24"/>
  <c r="F57" i="24"/>
  <c r="E57" i="24"/>
  <c r="I56" i="24"/>
  <c r="H56" i="24"/>
  <c r="G56" i="24"/>
  <c r="F56" i="24"/>
  <c r="E56" i="24"/>
  <c r="I54" i="24"/>
  <c r="H54" i="24"/>
  <c r="G54" i="24"/>
  <c r="F54" i="24"/>
  <c r="I53" i="24"/>
  <c r="H53" i="24"/>
  <c r="G53" i="24"/>
  <c r="F53" i="24"/>
  <c r="I52" i="24"/>
  <c r="H52" i="24"/>
  <c r="G52" i="24"/>
  <c r="F52" i="24"/>
  <c r="I51" i="24"/>
  <c r="H51" i="24"/>
  <c r="G51" i="24"/>
  <c r="F51" i="24"/>
  <c r="I50" i="24"/>
  <c r="H50" i="24"/>
  <c r="G50" i="24"/>
  <c r="F50" i="24"/>
  <c r="I49" i="24"/>
  <c r="H49" i="24"/>
  <c r="G49" i="24"/>
  <c r="F49" i="24"/>
  <c r="E49" i="24"/>
  <c r="I48" i="24"/>
  <c r="H48" i="24"/>
  <c r="G48" i="24"/>
  <c r="F48" i="24"/>
  <c r="E48" i="24"/>
  <c r="I46" i="24"/>
  <c r="H46" i="24"/>
  <c r="G46" i="24"/>
  <c r="F46" i="24"/>
  <c r="I45" i="24"/>
  <c r="H45" i="24"/>
  <c r="G45" i="24"/>
  <c r="F45" i="24"/>
  <c r="I44" i="24"/>
  <c r="H44" i="24"/>
  <c r="G44" i="24"/>
  <c r="F44" i="24"/>
  <c r="I43" i="24"/>
  <c r="H43" i="24"/>
  <c r="G43" i="24"/>
  <c r="F43" i="24"/>
  <c r="I42" i="24"/>
  <c r="H42" i="24"/>
  <c r="G42" i="24"/>
  <c r="F42" i="24"/>
  <c r="I41" i="24"/>
  <c r="H41" i="24"/>
  <c r="G41" i="24"/>
  <c r="F41" i="24"/>
  <c r="I40" i="24"/>
  <c r="H40" i="24"/>
  <c r="G40" i="24"/>
  <c r="F40" i="24"/>
  <c r="I38" i="24"/>
  <c r="H38" i="24"/>
  <c r="G38" i="24"/>
  <c r="F38" i="24"/>
  <c r="I37" i="24"/>
  <c r="H37" i="24"/>
  <c r="G37" i="24"/>
  <c r="F37" i="24"/>
  <c r="I36" i="24"/>
  <c r="H36" i="24"/>
  <c r="G36" i="24"/>
  <c r="F36" i="24"/>
  <c r="I35" i="24"/>
  <c r="H35" i="24"/>
  <c r="G35" i="24"/>
  <c r="F35" i="24"/>
  <c r="I34" i="24"/>
  <c r="H34" i="24"/>
  <c r="G34" i="24"/>
  <c r="F34" i="24"/>
  <c r="I33" i="24"/>
  <c r="H33" i="24"/>
  <c r="G33" i="24"/>
  <c r="F33" i="24"/>
  <c r="E33" i="24"/>
  <c r="I32" i="24"/>
  <c r="H32" i="24"/>
  <c r="G32" i="24"/>
  <c r="F32" i="24"/>
  <c r="E32" i="24"/>
  <c r="I22" i="24"/>
  <c r="H22" i="24"/>
  <c r="G22" i="24"/>
  <c r="F22" i="24"/>
  <c r="E22" i="24"/>
  <c r="I13" i="24"/>
  <c r="I21" i="24"/>
  <c r="H13" i="24"/>
  <c r="H21" i="24"/>
  <c r="G13" i="24"/>
  <c r="G21" i="24"/>
  <c r="F13" i="24"/>
  <c r="F21" i="24"/>
  <c r="E21" i="24"/>
  <c r="I20" i="24"/>
  <c r="I11" i="24"/>
  <c r="I19" i="24"/>
  <c r="H11" i="24"/>
  <c r="H19" i="24"/>
  <c r="G11" i="24"/>
  <c r="G19" i="24"/>
  <c r="F11" i="24"/>
  <c r="F19" i="24"/>
  <c r="E19" i="24"/>
  <c r="I10" i="24"/>
  <c r="I18" i="24"/>
  <c r="H10" i="24"/>
  <c r="H18" i="24"/>
  <c r="G10" i="24"/>
  <c r="G18" i="24"/>
  <c r="F10" i="24"/>
  <c r="F18" i="24"/>
  <c r="E18" i="24"/>
  <c r="I9" i="24"/>
  <c r="H9" i="24"/>
  <c r="G9" i="24"/>
  <c r="F25" i="24"/>
  <c r="F9" i="24"/>
  <c r="H8" i="24"/>
  <c r="H24" i="24" s="1"/>
  <c r="G8" i="24"/>
  <c r="G16" i="24"/>
  <c r="F8" i="24"/>
  <c r="F16" i="24"/>
  <c r="F17" i="24"/>
  <c r="E442" i="21"/>
  <c r="E441" i="21"/>
  <c r="E440" i="21"/>
  <c r="E439" i="21"/>
  <c r="E438" i="21"/>
  <c r="F437" i="21"/>
  <c r="E437" i="21" s="1"/>
  <c r="I436" i="21"/>
  <c r="H436" i="21"/>
  <c r="G436" i="21"/>
  <c r="F436" i="21"/>
  <c r="I435" i="21"/>
  <c r="H435" i="21"/>
  <c r="G435" i="21"/>
  <c r="F435" i="21"/>
  <c r="I434" i="21"/>
  <c r="H434" i="21"/>
  <c r="G434" i="21"/>
  <c r="F434" i="21"/>
  <c r="I433" i="21"/>
  <c r="H433" i="21"/>
  <c r="F433" i="21"/>
  <c r="F427" i="21" s="1"/>
  <c r="E427" i="21" s="1"/>
  <c r="G433" i="21"/>
  <c r="I432" i="21"/>
  <c r="H432" i="21"/>
  <c r="G432" i="21"/>
  <c r="F432" i="21"/>
  <c r="F426" i="21" s="1"/>
  <c r="E426" i="21" s="1"/>
  <c r="E424" i="21"/>
  <c r="E418" i="21" s="1"/>
  <c r="E423" i="21"/>
  <c r="E417" i="21" s="1"/>
  <c r="E421" i="21"/>
  <c r="E415" i="21" s="1"/>
  <c r="E420" i="21"/>
  <c r="E414" i="21" s="1"/>
  <c r="I419" i="21"/>
  <c r="I413" i="21" s="1"/>
  <c r="H419" i="21"/>
  <c r="H413" i="21" s="1"/>
  <c r="G419" i="21"/>
  <c r="F419" i="21"/>
  <c r="I418" i="21"/>
  <c r="H418" i="21"/>
  <c r="G418" i="21"/>
  <c r="F418" i="21"/>
  <c r="I417" i="21"/>
  <c r="H417" i="21"/>
  <c r="G417" i="21"/>
  <c r="F417" i="21"/>
  <c r="I416" i="21"/>
  <c r="H416" i="21"/>
  <c r="G416" i="21"/>
  <c r="F416" i="21"/>
  <c r="I415" i="21"/>
  <c r="H415" i="21"/>
  <c r="G415" i="21"/>
  <c r="F415" i="21"/>
  <c r="I414" i="21"/>
  <c r="H414" i="21"/>
  <c r="G414" i="21"/>
  <c r="F414" i="21"/>
  <c r="F413" i="21"/>
  <c r="E412" i="21"/>
  <c r="E411" i="21"/>
  <c r="E410" i="21"/>
  <c r="E409" i="21"/>
  <c r="E408" i="21"/>
  <c r="I407" i="21"/>
  <c r="H407" i="21"/>
  <c r="G407" i="21"/>
  <c r="F407" i="21"/>
  <c r="E406" i="21"/>
  <c r="E405" i="21"/>
  <c r="E404" i="21"/>
  <c r="E403" i="21"/>
  <c r="E402" i="21"/>
  <c r="I401" i="21"/>
  <c r="H401" i="21"/>
  <c r="G401" i="21"/>
  <c r="F401" i="21"/>
  <c r="E400" i="21"/>
  <c r="E399" i="21"/>
  <c r="E398" i="21"/>
  <c r="E397" i="21"/>
  <c r="E396" i="21"/>
  <c r="I395" i="21"/>
  <c r="H395" i="21"/>
  <c r="G395" i="21"/>
  <c r="F395" i="21"/>
  <c r="E394" i="21"/>
  <c r="E393" i="21"/>
  <c r="E392" i="21"/>
  <c r="E391" i="21"/>
  <c r="E390" i="21"/>
  <c r="I389" i="21"/>
  <c r="H389" i="21"/>
  <c r="G389" i="21"/>
  <c r="F389" i="21"/>
  <c r="E388" i="21"/>
  <c r="E387" i="21"/>
  <c r="E386" i="21"/>
  <c r="E385" i="21"/>
  <c r="E384" i="21"/>
  <c r="I383" i="21"/>
  <c r="H383" i="21"/>
  <c r="G383" i="21"/>
  <c r="F383" i="21"/>
  <c r="E382" i="21"/>
  <c r="E381" i="21"/>
  <c r="E380" i="21"/>
  <c r="E379" i="21"/>
  <c r="E378" i="21"/>
  <c r="I377" i="21"/>
  <c r="H377" i="21"/>
  <c r="G377" i="21"/>
  <c r="F377" i="21"/>
  <c r="E376" i="21"/>
  <c r="E375" i="21"/>
  <c r="E374" i="21"/>
  <c r="E373" i="21"/>
  <c r="E372" i="21"/>
  <c r="I371" i="21"/>
  <c r="H371" i="21"/>
  <c r="G371" i="21"/>
  <c r="F371" i="21"/>
  <c r="E370" i="21"/>
  <c r="E369" i="21"/>
  <c r="E368" i="21"/>
  <c r="E367" i="21"/>
  <c r="E366" i="21"/>
  <c r="I365" i="21"/>
  <c r="H365" i="21"/>
  <c r="G365" i="21"/>
  <c r="F365" i="21"/>
  <c r="E364" i="21"/>
  <c r="E363" i="21"/>
  <c r="E362" i="21"/>
  <c r="E361" i="21"/>
  <c r="E360" i="21"/>
  <c r="I359" i="21"/>
  <c r="H359" i="21"/>
  <c r="G359" i="21"/>
  <c r="F359" i="21"/>
  <c r="E358" i="21"/>
  <c r="E357" i="21"/>
  <c r="E356" i="21"/>
  <c r="E355" i="21"/>
  <c r="E354" i="21"/>
  <c r="I353" i="21"/>
  <c r="H353" i="21"/>
  <c r="G353" i="21"/>
  <c r="F353" i="21"/>
  <c r="E352" i="21"/>
  <c r="E351" i="21"/>
  <c r="E350" i="21"/>
  <c r="E349" i="21"/>
  <c r="E348" i="21"/>
  <c r="I347" i="21"/>
  <c r="H347" i="21"/>
  <c r="G347" i="21"/>
  <c r="F347" i="21"/>
  <c r="E346" i="21"/>
  <c r="E345" i="21"/>
  <c r="E344" i="21"/>
  <c r="E343" i="21"/>
  <c r="E342" i="21"/>
  <c r="I341" i="21"/>
  <c r="H341" i="21"/>
  <c r="G341" i="21"/>
  <c r="F341" i="21"/>
  <c r="E340" i="21"/>
  <c r="E339" i="21"/>
  <c r="E338" i="21"/>
  <c r="E337" i="21"/>
  <c r="E336" i="21"/>
  <c r="I335" i="21"/>
  <c r="H335" i="21"/>
  <c r="G335" i="21"/>
  <c r="F335" i="21"/>
  <c r="E334" i="21"/>
  <c r="E333" i="21"/>
  <c r="E332" i="21"/>
  <c r="E331" i="21"/>
  <c r="E330" i="21"/>
  <c r="I329" i="21"/>
  <c r="H329" i="21"/>
  <c r="G329" i="21"/>
  <c r="F329" i="21"/>
  <c r="E328" i="21"/>
  <c r="E327" i="21"/>
  <c r="E326" i="21"/>
  <c r="E325" i="21"/>
  <c r="E324" i="21"/>
  <c r="I323" i="21"/>
  <c r="H323" i="21"/>
  <c r="G323" i="21"/>
  <c r="F323" i="21"/>
  <c r="E322" i="21"/>
  <c r="E321" i="21"/>
  <c r="E320" i="21"/>
  <c r="E319" i="21"/>
  <c r="E318" i="21"/>
  <c r="I317" i="21"/>
  <c r="H317" i="21"/>
  <c r="G317" i="21"/>
  <c r="F317" i="21"/>
  <c r="E316" i="21"/>
  <c r="E315" i="21"/>
  <c r="E314" i="21"/>
  <c r="E313" i="21"/>
  <c r="E312" i="21"/>
  <c r="I311" i="21"/>
  <c r="H311" i="21"/>
  <c r="G311" i="21"/>
  <c r="F311" i="21"/>
  <c r="E310" i="21"/>
  <c r="E309" i="21"/>
  <c r="E308" i="21"/>
  <c r="E307" i="21"/>
  <c r="E306" i="21"/>
  <c r="I305" i="21"/>
  <c r="H305" i="21"/>
  <c r="G305" i="21"/>
  <c r="F305" i="21"/>
  <c r="I304" i="21"/>
  <c r="H304" i="21"/>
  <c r="G304" i="21"/>
  <c r="G226" i="21"/>
  <c r="F304" i="21"/>
  <c r="F226" i="21"/>
  <c r="I303" i="21"/>
  <c r="H303" i="21"/>
  <c r="G303" i="21"/>
  <c r="F303" i="21"/>
  <c r="I302" i="21"/>
  <c r="H302" i="21"/>
  <c r="G302" i="21"/>
  <c r="F302" i="21"/>
  <c r="I301" i="21"/>
  <c r="H301" i="21"/>
  <c r="G301" i="21"/>
  <c r="F301" i="21"/>
  <c r="I300" i="21"/>
  <c r="H300" i="21"/>
  <c r="G300" i="21"/>
  <c r="F300" i="21"/>
  <c r="E298" i="21"/>
  <c r="E297" i="21"/>
  <c r="E296" i="21"/>
  <c r="E295" i="21"/>
  <c r="E294" i="21"/>
  <c r="I293" i="21"/>
  <c r="H293" i="21"/>
  <c r="G293" i="21"/>
  <c r="F293" i="21"/>
  <c r="E292" i="21"/>
  <c r="E291" i="21"/>
  <c r="E290" i="21"/>
  <c r="E289" i="21"/>
  <c r="E288" i="21"/>
  <c r="I287" i="21"/>
  <c r="H287" i="21"/>
  <c r="G287" i="21"/>
  <c r="F287" i="21"/>
  <c r="E286" i="21"/>
  <c r="E285" i="21"/>
  <c r="E284" i="21"/>
  <c r="E283" i="21"/>
  <c r="E282" i="21"/>
  <c r="I281" i="21"/>
  <c r="H281" i="21"/>
  <c r="G281" i="21"/>
  <c r="F281" i="21"/>
  <c r="E280" i="21"/>
  <c r="E279" i="21"/>
  <c r="E278" i="21"/>
  <c r="E277" i="21"/>
  <c r="E276" i="21"/>
  <c r="I275" i="21"/>
  <c r="H275" i="21"/>
  <c r="G275" i="21"/>
  <c r="F275" i="21"/>
  <c r="E274" i="21"/>
  <c r="E273" i="21"/>
  <c r="E272" i="21"/>
  <c r="E271" i="21"/>
  <c r="E270" i="21"/>
  <c r="I269" i="21"/>
  <c r="H269" i="21"/>
  <c r="G269" i="21"/>
  <c r="F269" i="21"/>
  <c r="E268" i="21"/>
  <c r="E267" i="21"/>
  <c r="E266" i="21"/>
  <c r="E265" i="21"/>
  <c r="E264" i="21"/>
  <c r="I263" i="21"/>
  <c r="H263" i="21"/>
  <c r="G263" i="21"/>
  <c r="F263" i="21"/>
  <c r="E262" i="21"/>
  <c r="E261" i="21"/>
  <c r="E260" i="21"/>
  <c r="E259" i="21"/>
  <c r="E258" i="21"/>
  <c r="I257" i="21"/>
  <c r="H257" i="21"/>
  <c r="G257" i="21"/>
  <c r="F257" i="21"/>
  <c r="E256" i="21"/>
  <c r="E255" i="21"/>
  <c r="E254" i="21"/>
  <c r="E253" i="21"/>
  <c r="E252" i="21"/>
  <c r="I251" i="21"/>
  <c r="H251" i="21"/>
  <c r="G251" i="21"/>
  <c r="F251" i="21"/>
  <c r="E250" i="21"/>
  <c r="E249" i="21"/>
  <c r="E248" i="21"/>
  <c r="E247" i="21"/>
  <c r="E246" i="21"/>
  <c r="I245" i="21"/>
  <c r="H245" i="21"/>
  <c r="G245" i="21"/>
  <c r="F245" i="21"/>
  <c r="E244" i="21"/>
  <c r="E243" i="21"/>
  <c r="E242" i="21"/>
  <c r="E241" i="21"/>
  <c r="E240" i="21"/>
  <c r="I239" i="21"/>
  <c r="H239" i="21"/>
  <c r="G239" i="21"/>
  <c r="F239" i="21"/>
  <c r="E238" i="21"/>
  <c r="E237" i="21"/>
  <c r="E236" i="21"/>
  <c r="E235" i="21"/>
  <c r="E234" i="21"/>
  <c r="I233" i="21"/>
  <c r="H233" i="21"/>
  <c r="G233" i="21"/>
  <c r="F233" i="21"/>
  <c r="E232" i="21"/>
  <c r="E231" i="21"/>
  <c r="E230" i="21"/>
  <c r="E229" i="21"/>
  <c r="E228" i="21"/>
  <c r="I227" i="21"/>
  <c r="H227" i="21"/>
  <c r="G227" i="21"/>
  <c r="F227" i="21"/>
  <c r="I226" i="21"/>
  <c r="H226" i="21"/>
  <c r="I225" i="21"/>
  <c r="H225" i="21"/>
  <c r="G225" i="21"/>
  <c r="F225" i="21"/>
  <c r="I224" i="21"/>
  <c r="H224" i="21"/>
  <c r="G224" i="21"/>
  <c r="F224" i="21"/>
  <c r="I223" i="21"/>
  <c r="H223" i="21"/>
  <c r="G223" i="21"/>
  <c r="F223" i="21"/>
  <c r="I222" i="21"/>
  <c r="H222" i="21"/>
  <c r="G222" i="21"/>
  <c r="F222" i="21"/>
  <c r="E214" i="21"/>
  <c r="E213" i="21"/>
  <c r="E212" i="21"/>
  <c r="E211" i="21"/>
  <c r="E210" i="21"/>
  <c r="I209" i="21"/>
  <c r="H209" i="21"/>
  <c r="G209" i="21"/>
  <c r="F209" i="21"/>
  <c r="E208" i="21"/>
  <c r="E207" i="21"/>
  <c r="E206" i="21"/>
  <c r="E205" i="21"/>
  <c r="E204" i="21"/>
  <c r="I203" i="21"/>
  <c r="H203" i="21"/>
  <c r="G203" i="21"/>
  <c r="F203" i="21"/>
  <c r="E202" i="21"/>
  <c r="E201" i="21"/>
  <c r="E200" i="21"/>
  <c r="E199" i="21"/>
  <c r="E198" i="21"/>
  <c r="I197" i="21"/>
  <c r="H197" i="21"/>
  <c r="G197" i="21"/>
  <c r="F197" i="21"/>
  <c r="E196" i="21"/>
  <c r="E195" i="21"/>
  <c r="E194" i="21"/>
  <c r="E193" i="21"/>
  <c r="E192" i="21"/>
  <c r="I191" i="21"/>
  <c r="H191" i="21"/>
  <c r="G191" i="21"/>
  <c r="F191" i="21"/>
  <c r="I190" i="21"/>
  <c r="H190" i="21"/>
  <c r="G190" i="21"/>
  <c r="F190" i="21"/>
  <c r="I189" i="21"/>
  <c r="H189" i="21"/>
  <c r="G189" i="21"/>
  <c r="F189" i="21"/>
  <c r="I188" i="21"/>
  <c r="H188" i="21"/>
  <c r="G188" i="21"/>
  <c r="F188" i="21"/>
  <c r="I187" i="21"/>
  <c r="H187" i="21"/>
  <c r="G187" i="21"/>
  <c r="F187" i="21"/>
  <c r="I186" i="21"/>
  <c r="H186" i="21"/>
  <c r="G186" i="21"/>
  <c r="F186" i="21"/>
  <c r="E184" i="21"/>
  <c r="E183" i="21"/>
  <c r="E182" i="21"/>
  <c r="E181" i="21"/>
  <c r="E180" i="21"/>
  <c r="I179" i="21"/>
  <c r="H179" i="21"/>
  <c r="G179" i="21"/>
  <c r="F179" i="21"/>
  <c r="E178" i="21"/>
  <c r="E177" i="21"/>
  <c r="E176" i="21"/>
  <c r="E175" i="21"/>
  <c r="E174" i="21"/>
  <c r="I173" i="21"/>
  <c r="H173" i="21"/>
  <c r="G173" i="21"/>
  <c r="F173" i="21"/>
  <c r="E172" i="21"/>
  <c r="E171" i="21"/>
  <c r="E170" i="21"/>
  <c r="E169" i="21"/>
  <c r="E168" i="21"/>
  <c r="I167" i="21"/>
  <c r="H167" i="21"/>
  <c r="G167" i="21"/>
  <c r="F167" i="21"/>
  <c r="E166" i="21"/>
  <c r="E165" i="21"/>
  <c r="I163" i="21"/>
  <c r="I157" i="21" s="1"/>
  <c r="H163" i="21"/>
  <c r="H157" i="21" s="1"/>
  <c r="G163" i="21"/>
  <c r="I162" i="21"/>
  <c r="I156" i="21" s="1"/>
  <c r="H162" i="21"/>
  <c r="H156" i="21" s="1"/>
  <c r="G162" i="21"/>
  <c r="G156" i="21" s="1"/>
  <c r="F161" i="21"/>
  <c r="I160" i="21"/>
  <c r="H160" i="21"/>
  <c r="G160" i="21"/>
  <c r="F160" i="21"/>
  <c r="I159" i="21"/>
  <c r="H159" i="21"/>
  <c r="G159" i="21"/>
  <c r="F159" i="21"/>
  <c r="F157" i="21"/>
  <c r="F156" i="21"/>
  <c r="E154" i="21"/>
  <c r="E153" i="21"/>
  <c r="E150" i="21"/>
  <c r="I149" i="21"/>
  <c r="H149" i="21"/>
  <c r="F149" i="21"/>
  <c r="G149" i="21"/>
  <c r="E148" i="21"/>
  <c r="E147" i="21"/>
  <c r="E146" i="21"/>
  <c r="E144" i="21"/>
  <c r="I143" i="21"/>
  <c r="F143" i="21"/>
  <c r="G143" i="21"/>
  <c r="H143" i="21"/>
  <c r="E142" i="21"/>
  <c r="E141" i="21"/>
  <c r="E140" i="21"/>
  <c r="E139" i="21"/>
  <c r="E138" i="21"/>
  <c r="I137" i="21"/>
  <c r="H137" i="21"/>
  <c r="G137" i="21"/>
  <c r="F137" i="21"/>
  <c r="E136" i="21"/>
  <c r="E135" i="21"/>
  <c r="E134" i="21"/>
  <c r="E133" i="21"/>
  <c r="E132" i="21"/>
  <c r="I131" i="21"/>
  <c r="H131" i="21"/>
  <c r="G131" i="21"/>
  <c r="F131" i="21"/>
  <c r="E130" i="21"/>
  <c r="E129" i="21"/>
  <c r="E128" i="21"/>
  <c r="E127" i="21"/>
  <c r="E126" i="21"/>
  <c r="I125" i="21"/>
  <c r="H125" i="21"/>
  <c r="G125" i="21"/>
  <c r="F125" i="21"/>
  <c r="E124" i="21"/>
  <c r="E123" i="21"/>
  <c r="E122" i="21"/>
  <c r="E121" i="21"/>
  <c r="E120" i="21"/>
  <c r="I119" i="21"/>
  <c r="H119" i="21"/>
  <c r="G119" i="21"/>
  <c r="F119" i="21"/>
  <c r="E118" i="21"/>
  <c r="E117" i="21"/>
  <c r="E116" i="21"/>
  <c r="E115" i="21"/>
  <c r="E114" i="21"/>
  <c r="I113" i="21"/>
  <c r="H113" i="21"/>
  <c r="G113" i="21"/>
  <c r="F113" i="21"/>
  <c r="E112" i="21"/>
  <c r="E111" i="21"/>
  <c r="E110" i="21"/>
  <c r="E109" i="21"/>
  <c r="E108" i="21"/>
  <c r="I107" i="21"/>
  <c r="H107" i="21"/>
  <c r="G107" i="21"/>
  <c r="F107" i="21"/>
  <c r="E106" i="21"/>
  <c r="E105" i="21"/>
  <c r="E104" i="21"/>
  <c r="E103" i="21"/>
  <c r="E102" i="21"/>
  <c r="I101" i="21"/>
  <c r="H101" i="21"/>
  <c r="G101" i="21"/>
  <c r="F101" i="21"/>
  <c r="I100" i="21"/>
  <c r="I94" i="21" s="1"/>
  <c r="H100" i="21"/>
  <c r="G100" i="21"/>
  <c r="G94" i="21" s="1"/>
  <c r="I99" i="21"/>
  <c r="I93" i="21" s="1"/>
  <c r="H99" i="21"/>
  <c r="H93" i="21" s="1"/>
  <c r="G99" i="21"/>
  <c r="G93" i="21" s="1"/>
  <c r="I98" i="21"/>
  <c r="I92" i="21" s="1"/>
  <c r="H98" i="21"/>
  <c r="H92" i="21" s="1"/>
  <c r="G98" i="21"/>
  <c r="G92" i="21" s="1"/>
  <c r="I97" i="21"/>
  <c r="I91" i="21" s="1"/>
  <c r="H97" i="21"/>
  <c r="H91" i="21" s="1"/>
  <c r="G97" i="21"/>
  <c r="G91" i="21" s="1"/>
  <c r="I96" i="21"/>
  <c r="I90" i="21" s="1"/>
  <c r="H96" i="21"/>
  <c r="H90" i="21" s="1"/>
  <c r="G96" i="21"/>
  <c r="G90" i="21" s="1"/>
  <c r="F95" i="21"/>
  <c r="F94" i="21"/>
  <c r="F93" i="21"/>
  <c r="F92" i="21"/>
  <c r="F91" i="21"/>
  <c r="F90" i="21"/>
  <c r="E82" i="21"/>
  <c r="E81" i="21"/>
  <c r="E80" i="21"/>
  <c r="E79" i="21"/>
  <c r="E78" i="21"/>
  <c r="I77" i="21"/>
  <c r="H77" i="21"/>
  <c r="G77" i="21"/>
  <c r="F77" i="21"/>
  <c r="E76" i="21"/>
  <c r="E75" i="21"/>
  <c r="E74" i="21"/>
  <c r="E73" i="21"/>
  <c r="E72" i="21"/>
  <c r="I71" i="21"/>
  <c r="H71" i="21"/>
  <c r="G71" i="21"/>
  <c r="F71" i="21"/>
  <c r="E70" i="21"/>
  <c r="E69" i="21"/>
  <c r="E68" i="21"/>
  <c r="E67" i="21"/>
  <c r="E66" i="21"/>
  <c r="I65" i="21"/>
  <c r="H65" i="21"/>
  <c r="G65" i="21"/>
  <c r="F65" i="21"/>
  <c r="I64" i="21"/>
  <c r="H64" i="21"/>
  <c r="G64" i="21"/>
  <c r="G22" i="21"/>
  <c r="F64" i="21"/>
  <c r="I63" i="21"/>
  <c r="H63" i="21"/>
  <c r="H21" i="21"/>
  <c r="G63" i="21"/>
  <c r="F63" i="21"/>
  <c r="I62" i="21"/>
  <c r="I20" i="21"/>
  <c r="H62" i="21"/>
  <c r="H60" i="21"/>
  <c r="H61" i="21"/>
  <c r="G62" i="21"/>
  <c r="F62" i="21"/>
  <c r="I61" i="21"/>
  <c r="G61" i="21"/>
  <c r="F61" i="21"/>
  <c r="F19" i="21"/>
  <c r="I60" i="21"/>
  <c r="G60" i="21"/>
  <c r="F60" i="21"/>
  <c r="E58" i="21"/>
  <c r="E57" i="21"/>
  <c r="E56" i="21"/>
  <c r="E55" i="21"/>
  <c r="E54" i="21"/>
  <c r="I53" i="21"/>
  <c r="H53" i="21"/>
  <c r="G53" i="21"/>
  <c r="F53" i="21"/>
  <c r="E52" i="21"/>
  <c r="E51" i="21"/>
  <c r="E50" i="21"/>
  <c r="E49" i="21"/>
  <c r="E48" i="21"/>
  <c r="I47" i="21"/>
  <c r="H47" i="21"/>
  <c r="G47" i="21"/>
  <c r="F47" i="21"/>
  <c r="E46" i="21"/>
  <c r="E45" i="21"/>
  <c r="E44" i="21"/>
  <c r="E43" i="21"/>
  <c r="E42" i="21"/>
  <c r="I41" i="21"/>
  <c r="H41" i="21"/>
  <c r="G41" i="21"/>
  <c r="F41" i="21"/>
  <c r="E40" i="21"/>
  <c r="E39" i="21"/>
  <c r="E38" i="21"/>
  <c r="E37" i="21"/>
  <c r="E36" i="21"/>
  <c r="I35" i="21"/>
  <c r="H35" i="21"/>
  <c r="G35" i="21"/>
  <c r="F35" i="21"/>
  <c r="E34" i="21"/>
  <c r="E33" i="21"/>
  <c r="E32" i="21"/>
  <c r="E31" i="21"/>
  <c r="E30" i="21"/>
  <c r="I29" i="21"/>
  <c r="H29" i="21"/>
  <c r="G29" i="21"/>
  <c r="F29" i="21"/>
  <c r="E28" i="21"/>
  <c r="E27" i="21"/>
  <c r="E26" i="21"/>
  <c r="E25" i="21"/>
  <c r="E24" i="21"/>
  <c r="I23" i="21"/>
  <c r="H23" i="21"/>
  <c r="G23" i="21"/>
  <c r="F23" i="21"/>
  <c r="I22" i="21"/>
  <c r="H22" i="21"/>
  <c r="F22" i="21"/>
  <c r="I21" i="21"/>
  <c r="G21" i="21"/>
  <c r="F21" i="21"/>
  <c r="H20" i="21"/>
  <c r="G20" i="21"/>
  <c r="F20" i="21"/>
  <c r="I19" i="21"/>
  <c r="H19" i="21"/>
  <c r="G19" i="21"/>
  <c r="I18" i="21"/>
  <c r="H18" i="21"/>
  <c r="G18" i="21"/>
  <c r="F18" i="21"/>
  <c r="G210" i="20"/>
  <c r="H179" i="20"/>
  <c r="I413" i="20"/>
  <c r="F410" i="20"/>
  <c r="E410" i="20" s="1"/>
  <c r="H210" i="20" l="1"/>
  <c r="E377" i="20"/>
  <c r="E43" i="31"/>
  <c r="F32" i="31"/>
  <c r="F68" i="36"/>
  <c r="G16" i="21"/>
  <c r="E251" i="35"/>
  <c r="F70" i="31"/>
  <c r="F97" i="31"/>
  <c r="D92" i="36"/>
  <c r="E97" i="31"/>
  <c r="E30" i="36"/>
  <c r="E64" i="20"/>
  <c r="H185" i="21"/>
  <c r="F62" i="31"/>
  <c r="E317" i="35"/>
  <c r="F74" i="31"/>
  <c r="E218" i="20"/>
  <c r="E68" i="36"/>
  <c r="J124" i="25"/>
  <c r="G12" i="3"/>
  <c r="E131" i="21"/>
  <c r="E57" i="36"/>
  <c r="K108" i="25"/>
  <c r="F39" i="36"/>
  <c r="E24" i="31"/>
  <c r="D81" i="31"/>
  <c r="I165" i="25"/>
  <c r="E233" i="20"/>
  <c r="E257" i="20"/>
  <c r="I293" i="20"/>
  <c r="F293" i="20"/>
  <c r="E294" i="20"/>
  <c r="E16" i="31"/>
  <c r="F13" i="35"/>
  <c r="G216" i="35"/>
  <c r="F220" i="35"/>
  <c r="G305" i="35"/>
  <c r="I16" i="21"/>
  <c r="F299" i="21"/>
  <c r="E233" i="35"/>
  <c r="H15" i="20"/>
  <c r="F15" i="35"/>
  <c r="E62" i="35"/>
  <c r="I217" i="35"/>
  <c r="E299" i="35"/>
  <c r="E440" i="35"/>
  <c r="F57" i="36"/>
  <c r="F86" i="21"/>
  <c r="E91" i="31"/>
  <c r="E90" i="31" s="1"/>
  <c r="H12" i="35"/>
  <c r="C51" i="31"/>
  <c r="C50" i="31" s="1"/>
  <c r="I133" i="25"/>
  <c r="E287" i="35"/>
  <c r="F185" i="21"/>
  <c r="E190" i="21"/>
  <c r="I299" i="21"/>
  <c r="K116" i="25"/>
  <c r="H215" i="20"/>
  <c r="E305" i="20"/>
  <c r="E329" i="20"/>
  <c r="E353" i="20"/>
  <c r="E401" i="20"/>
  <c r="F220" i="21"/>
  <c r="I39" i="24"/>
  <c r="I111" i="24"/>
  <c r="I13" i="35"/>
  <c r="I16" i="35"/>
  <c r="G218" i="35"/>
  <c r="D18" i="36"/>
  <c r="D13" i="36" s="1"/>
  <c r="I14" i="21"/>
  <c r="E21" i="20"/>
  <c r="E245" i="20"/>
  <c r="E416" i="20"/>
  <c r="E74" i="31"/>
  <c r="F185" i="35"/>
  <c r="F73" i="31"/>
  <c r="I14" i="35"/>
  <c r="G374" i="3"/>
  <c r="I58" i="25"/>
  <c r="H58" i="25" s="1"/>
  <c r="F86" i="35"/>
  <c r="F212" i="20"/>
  <c r="E173" i="20"/>
  <c r="E185" i="20"/>
  <c r="G15" i="35"/>
  <c r="E227" i="35"/>
  <c r="E245" i="35"/>
  <c r="E329" i="35"/>
  <c r="D12" i="31"/>
  <c r="D11" i="31" s="1"/>
  <c r="E11" i="31" s="1"/>
  <c r="E217" i="20"/>
  <c r="D90" i="31"/>
  <c r="D89" i="31" s="1"/>
  <c r="H211" i="20"/>
  <c r="F60" i="36"/>
  <c r="E122" i="36"/>
  <c r="F16" i="31"/>
  <c r="F12" i="31" s="1"/>
  <c r="I14" i="20"/>
  <c r="F87" i="20"/>
  <c r="E197" i="20"/>
  <c r="E281" i="20"/>
  <c r="G14" i="35"/>
  <c r="E71" i="35"/>
  <c r="E77" i="35"/>
  <c r="E293" i="35"/>
  <c r="E323" i="35"/>
  <c r="I211" i="20"/>
  <c r="G13" i="35"/>
  <c r="H88" i="35"/>
  <c r="E179" i="35"/>
  <c r="F216" i="35"/>
  <c r="G217" i="35"/>
  <c r="F86" i="36"/>
  <c r="G21" i="3"/>
  <c r="G24" i="3"/>
  <c r="H100" i="25"/>
  <c r="E41" i="20"/>
  <c r="F15" i="20"/>
  <c r="F179" i="20"/>
  <c r="E347" i="35"/>
  <c r="H13" i="21"/>
  <c r="I216" i="21"/>
  <c r="I217" i="21"/>
  <c r="I218" i="21"/>
  <c r="I219" i="21"/>
  <c r="E434" i="21"/>
  <c r="C23" i="31"/>
  <c r="E23" i="31" s="1"/>
  <c r="F15" i="21"/>
  <c r="E179" i="21"/>
  <c r="E257" i="21"/>
  <c r="H216" i="21"/>
  <c r="G16" i="20"/>
  <c r="F155" i="35"/>
  <c r="G185" i="21"/>
  <c r="G15" i="21"/>
  <c r="H16" i="20"/>
  <c r="H17" i="20"/>
  <c r="F59" i="20"/>
  <c r="E77" i="20"/>
  <c r="E143" i="20"/>
  <c r="E353" i="35"/>
  <c r="E71" i="21"/>
  <c r="E101" i="21"/>
  <c r="E107" i="21"/>
  <c r="E167" i="21"/>
  <c r="E187" i="21"/>
  <c r="E203" i="21"/>
  <c r="E227" i="21"/>
  <c r="E233" i="21"/>
  <c r="E251" i="21"/>
  <c r="E275" i="21"/>
  <c r="E407" i="21"/>
  <c r="H23" i="25"/>
  <c r="I17" i="20"/>
  <c r="F14" i="20"/>
  <c r="E29" i="20"/>
  <c r="F213" i="20"/>
  <c r="E220" i="20"/>
  <c r="F91" i="31"/>
  <c r="F90" i="31" s="1"/>
  <c r="E219" i="20"/>
  <c r="E18" i="21"/>
  <c r="H14" i="21"/>
  <c r="F16" i="21"/>
  <c r="E47" i="21"/>
  <c r="I59" i="21"/>
  <c r="I13" i="21"/>
  <c r="H12" i="21"/>
  <c r="M67" i="25"/>
  <c r="M76" i="25"/>
  <c r="E341" i="20"/>
  <c r="E53" i="31"/>
  <c r="F24" i="36"/>
  <c r="C95" i="31"/>
  <c r="F95" i="31" s="1"/>
  <c r="E96" i="31"/>
  <c r="F96" i="31"/>
  <c r="G26" i="24"/>
  <c r="H67" i="25"/>
  <c r="H76" i="25"/>
  <c r="F16" i="20"/>
  <c r="E101" i="20"/>
  <c r="E119" i="20"/>
  <c r="E125" i="20"/>
  <c r="E275" i="20"/>
  <c r="I215" i="20"/>
  <c r="E359" i="20"/>
  <c r="E190" i="35"/>
  <c r="E209" i="35"/>
  <c r="E389" i="35"/>
  <c r="E93" i="36"/>
  <c r="F130" i="36"/>
  <c r="F129" i="36" s="1"/>
  <c r="E61" i="21"/>
  <c r="E191" i="21"/>
  <c r="E224" i="21"/>
  <c r="E287" i="21"/>
  <c r="H217" i="21"/>
  <c r="E329" i="21"/>
  <c r="E347" i="21"/>
  <c r="E353" i="21"/>
  <c r="E395" i="21"/>
  <c r="E401" i="21"/>
  <c r="E180" i="20"/>
  <c r="E183" i="20"/>
  <c r="G17" i="35"/>
  <c r="E60" i="21"/>
  <c r="K149" i="25"/>
  <c r="G17" i="20"/>
  <c r="E63" i="20"/>
  <c r="E395" i="20"/>
  <c r="H14" i="35"/>
  <c r="E80" i="36"/>
  <c r="E103" i="36"/>
  <c r="F87" i="31"/>
  <c r="E11" i="36"/>
  <c r="I84" i="21"/>
  <c r="G88" i="21"/>
  <c r="H49" i="25"/>
  <c r="J116" i="25"/>
  <c r="F12" i="20"/>
  <c r="E22" i="20"/>
  <c r="E53" i="20"/>
  <c r="I12" i="20"/>
  <c r="E71" i="20"/>
  <c r="F88" i="20"/>
  <c r="G179" i="20"/>
  <c r="E191" i="20"/>
  <c r="G215" i="20"/>
  <c r="H212" i="20"/>
  <c r="I213" i="20"/>
  <c r="H214" i="20"/>
  <c r="E239" i="20"/>
  <c r="F210" i="20"/>
  <c r="I212" i="20"/>
  <c r="G214" i="20"/>
  <c r="E297" i="20"/>
  <c r="E295" i="20"/>
  <c r="E335" i="20"/>
  <c r="E418" i="20"/>
  <c r="D52" i="31"/>
  <c r="C81" i="31"/>
  <c r="H13" i="35"/>
  <c r="E13" i="35" s="1"/>
  <c r="E22" i="35"/>
  <c r="E53" i="35"/>
  <c r="F12" i="35"/>
  <c r="E107" i="35"/>
  <c r="E359" i="35"/>
  <c r="E407" i="35"/>
  <c r="E413" i="35"/>
  <c r="E438" i="35"/>
  <c r="E441" i="35"/>
  <c r="E16" i="36"/>
  <c r="C44" i="36"/>
  <c r="E44" i="36" s="1"/>
  <c r="F49" i="36"/>
  <c r="E60" i="36"/>
  <c r="C67" i="36"/>
  <c r="E86" i="36"/>
  <c r="F122" i="36"/>
  <c r="F135" i="36"/>
  <c r="C10" i="31"/>
  <c r="E137" i="21"/>
  <c r="E239" i="21"/>
  <c r="E263" i="21"/>
  <c r="E302" i="21"/>
  <c r="I431" i="21"/>
  <c r="F24" i="31"/>
  <c r="G12" i="21"/>
  <c r="H17" i="21"/>
  <c r="F13" i="21"/>
  <c r="E62" i="21"/>
  <c r="F218" i="21"/>
  <c r="H218" i="21"/>
  <c r="H220" i="21"/>
  <c r="E293" i="21"/>
  <c r="E311" i="21"/>
  <c r="F431" i="21"/>
  <c r="E60" i="20"/>
  <c r="E131" i="20"/>
  <c r="H15" i="35"/>
  <c r="H16" i="35"/>
  <c r="E65" i="35"/>
  <c r="E137" i="35"/>
  <c r="E143" i="35"/>
  <c r="E149" i="35"/>
  <c r="E203" i="35"/>
  <c r="F221" i="35"/>
  <c r="E281" i="35"/>
  <c r="I220" i="35"/>
  <c r="E377" i="35"/>
  <c r="H217" i="35"/>
  <c r="H219" i="35"/>
  <c r="F45" i="36"/>
  <c r="C12" i="36"/>
  <c r="E160" i="35"/>
  <c r="E96" i="21"/>
  <c r="E90" i="21" s="1"/>
  <c r="E13" i="24"/>
  <c r="E29" i="24" s="1"/>
  <c r="H87" i="24"/>
  <c r="E131" i="24"/>
  <c r="H113" i="25"/>
  <c r="K19" i="25"/>
  <c r="K11" i="25" s="1"/>
  <c r="H121" i="25"/>
  <c r="H122" i="25"/>
  <c r="H123" i="25"/>
  <c r="H131" i="25"/>
  <c r="H140" i="25"/>
  <c r="L149" i="25"/>
  <c r="H156" i="25"/>
  <c r="G28" i="24"/>
  <c r="G88" i="35"/>
  <c r="E163" i="35"/>
  <c r="G225" i="35"/>
  <c r="G219" i="35" s="1"/>
  <c r="G84" i="21"/>
  <c r="E419" i="21"/>
  <c r="E413" i="21" s="1"/>
  <c r="G413" i="21"/>
  <c r="J133" i="25"/>
  <c r="E64" i="21"/>
  <c r="E63" i="21"/>
  <c r="H16" i="21"/>
  <c r="E16" i="21" s="1"/>
  <c r="E77" i="21"/>
  <c r="F87" i="21"/>
  <c r="E113" i="21"/>
  <c r="F221" i="21"/>
  <c r="F216" i="21"/>
  <c r="H43" i="25"/>
  <c r="K40" i="25"/>
  <c r="I12" i="21"/>
  <c r="I17" i="21"/>
  <c r="F14" i="21"/>
  <c r="E35" i="21"/>
  <c r="E53" i="21"/>
  <c r="F59" i="21"/>
  <c r="F429" i="21"/>
  <c r="E429" i="21" s="1"/>
  <c r="E435" i="21"/>
  <c r="E436" i="21"/>
  <c r="F430" i="21"/>
  <c r="E430" i="21" s="1"/>
  <c r="E73" i="31"/>
  <c r="F428" i="21"/>
  <c r="E428" i="21" s="1"/>
  <c r="H17" i="25"/>
  <c r="H9" i="25" s="1"/>
  <c r="I221" i="21"/>
  <c r="E20" i="21"/>
  <c r="F12" i="21"/>
  <c r="G17" i="21"/>
  <c r="H15" i="21"/>
  <c r="E359" i="21"/>
  <c r="G431" i="21"/>
  <c r="E433" i="21"/>
  <c r="E188" i="21"/>
  <c r="E209" i="21"/>
  <c r="F217" i="21"/>
  <c r="F219" i="21"/>
  <c r="E281" i="21"/>
  <c r="E301" i="21"/>
  <c r="E317" i="21"/>
  <c r="E335" i="21"/>
  <c r="E383" i="21"/>
  <c r="G71" i="24"/>
  <c r="E107" i="24"/>
  <c r="E116" i="24"/>
  <c r="G119" i="24"/>
  <c r="H14" i="20"/>
  <c r="E107" i="20"/>
  <c r="H221" i="21"/>
  <c r="E226" i="21"/>
  <c r="G14" i="21"/>
  <c r="I15" i="21"/>
  <c r="E22" i="21"/>
  <c r="E41" i="21"/>
  <c r="G59" i="21"/>
  <c r="H59" i="21"/>
  <c r="E119" i="21"/>
  <c r="E143" i="21"/>
  <c r="E222" i="21"/>
  <c r="G217" i="21"/>
  <c r="I220" i="21"/>
  <c r="E269" i="21"/>
  <c r="G299" i="21"/>
  <c r="G218" i="21"/>
  <c r="E303" i="21"/>
  <c r="E341" i="21"/>
  <c r="E365" i="21"/>
  <c r="E389" i="21"/>
  <c r="F29" i="24"/>
  <c r="I31" i="24"/>
  <c r="E35" i="24"/>
  <c r="H16" i="25"/>
  <c r="H8" i="25" s="1"/>
  <c r="I13" i="20"/>
  <c r="E47" i="20"/>
  <c r="H13" i="20"/>
  <c r="E62" i="20"/>
  <c r="E186" i="21"/>
  <c r="E23" i="21"/>
  <c r="E29" i="21"/>
  <c r="E65" i="21"/>
  <c r="F85" i="21"/>
  <c r="F89" i="21"/>
  <c r="H86" i="21"/>
  <c r="E149" i="21"/>
  <c r="E173" i="21"/>
  <c r="I185" i="21"/>
  <c r="E189" i="21"/>
  <c r="E245" i="21"/>
  <c r="H299" i="21"/>
  <c r="H219" i="21"/>
  <c r="G220" i="21"/>
  <c r="E305" i="21"/>
  <c r="E300" i="21"/>
  <c r="H27" i="24"/>
  <c r="G29" i="24"/>
  <c r="I29" i="24"/>
  <c r="F14" i="24"/>
  <c r="F30" i="24" s="1"/>
  <c r="H12" i="20"/>
  <c r="E167" i="20"/>
  <c r="E184" i="20"/>
  <c r="G211" i="20"/>
  <c r="G209" i="20" s="1"/>
  <c r="I214" i="20"/>
  <c r="E263" i="20"/>
  <c r="I210" i="20"/>
  <c r="E311" i="20"/>
  <c r="E347" i="20"/>
  <c r="E371" i="20"/>
  <c r="E389" i="20"/>
  <c r="E417" i="20"/>
  <c r="F19" i="31"/>
  <c r="F25" i="31"/>
  <c r="C31" i="31"/>
  <c r="C30" i="31" s="1"/>
  <c r="F53" i="31"/>
  <c r="F84" i="31"/>
  <c r="E18" i="35"/>
  <c r="E186" i="35"/>
  <c r="I17" i="35"/>
  <c r="E21" i="35"/>
  <c r="E47" i="35"/>
  <c r="G59" i="35"/>
  <c r="E63" i="35"/>
  <c r="G16" i="35"/>
  <c r="F85" i="35"/>
  <c r="I88" i="35"/>
  <c r="G86" i="35"/>
  <c r="E131" i="35"/>
  <c r="E167" i="35"/>
  <c r="E307" i="35"/>
  <c r="E306" i="35"/>
  <c r="E383" i="35"/>
  <c r="E401" i="35"/>
  <c r="E425" i="35"/>
  <c r="E419" i="35" s="1"/>
  <c r="G437" i="35"/>
  <c r="F437" i="35"/>
  <c r="E442" i="35"/>
  <c r="E135" i="36"/>
  <c r="F19" i="36"/>
  <c r="E114" i="36"/>
  <c r="E14" i="36"/>
  <c r="F27" i="36"/>
  <c r="F30" i="36"/>
  <c r="E39" i="36"/>
  <c r="F93" i="36"/>
  <c r="C112" i="36"/>
  <c r="F112" i="36" s="1"/>
  <c r="E121" i="36"/>
  <c r="I179" i="20"/>
  <c r="E179" i="20" s="1"/>
  <c r="H413" i="20"/>
  <c r="F59" i="35"/>
  <c r="E37" i="24"/>
  <c r="H14" i="24"/>
  <c r="H30" i="24" s="1"/>
  <c r="E42" i="24"/>
  <c r="E45" i="24"/>
  <c r="E53" i="24"/>
  <c r="E67" i="24"/>
  <c r="E69" i="24"/>
  <c r="E77" i="24"/>
  <c r="F79" i="24"/>
  <c r="E83" i="24"/>
  <c r="E96" i="24"/>
  <c r="H32" i="25"/>
  <c r="I92" i="25"/>
  <c r="J108" i="25"/>
  <c r="I141" i="25"/>
  <c r="I157" i="25"/>
  <c r="E19" i="20"/>
  <c r="G14" i="20"/>
  <c r="I59" i="20"/>
  <c r="H59" i="20"/>
  <c r="E65" i="20"/>
  <c r="F84" i="20"/>
  <c r="E113" i="20"/>
  <c r="E137" i="20"/>
  <c r="E161" i="20"/>
  <c r="E181" i="20"/>
  <c r="F215" i="20"/>
  <c r="E251" i="20"/>
  <c r="E269" i="20"/>
  <c r="E287" i="20"/>
  <c r="H293" i="20"/>
  <c r="E299" i="20"/>
  <c r="E383" i="20"/>
  <c r="E25" i="31"/>
  <c r="E62" i="31"/>
  <c r="E87" i="31"/>
  <c r="E41" i="35"/>
  <c r="F84" i="35"/>
  <c r="E101" i="35"/>
  <c r="E125" i="35"/>
  <c r="E188" i="35"/>
  <c r="E191" i="35"/>
  <c r="E197" i="35"/>
  <c r="E222" i="35"/>
  <c r="E223" i="35"/>
  <c r="E275" i="35"/>
  <c r="E371" i="35"/>
  <c r="E395" i="35"/>
  <c r="F217" i="35"/>
  <c r="I219" i="35"/>
  <c r="E439" i="35"/>
  <c r="E24" i="36"/>
  <c r="D12" i="36"/>
  <c r="E19" i="36"/>
  <c r="F11" i="36"/>
  <c r="F34" i="36"/>
  <c r="F33" i="36" s="1"/>
  <c r="E45" i="36"/>
  <c r="E49" i="36"/>
  <c r="D59" i="36"/>
  <c r="F59" i="36" s="1"/>
  <c r="E35" i="20"/>
  <c r="E61" i="20"/>
  <c r="I15" i="20"/>
  <c r="E203" i="20"/>
  <c r="G293" i="20"/>
  <c r="E365" i="20"/>
  <c r="D31" i="31"/>
  <c r="D30" i="31" s="1"/>
  <c r="G12" i="35"/>
  <c r="E61" i="35"/>
  <c r="E23" i="35"/>
  <c r="E35" i="35"/>
  <c r="F16" i="35"/>
  <c r="E113" i="35"/>
  <c r="E119" i="35"/>
  <c r="E173" i="35"/>
  <c r="E257" i="35"/>
  <c r="E269" i="35"/>
  <c r="F305" i="35"/>
  <c r="E311" i="35"/>
  <c r="E335" i="35"/>
  <c r="E341" i="35"/>
  <c r="E310" i="35"/>
  <c r="I437" i="35"/>
  <c r="C34" i="36"/>
  <c r="E34" i="36" s="1"/>
  <c r="E99" i="21"/>
  <c r="E93" i="21" s="1"/>
  <c r="E82" i="24"/>
  <c r="G155" i="20"/>
  <c r="K20" i="25"/>
  <c r="K12" i="25" s="1"/>
  <c r="I87" i="20"/>
  <c r="H161" i="35"/>
  <c r="H31" i="24"/>
  <c r="G95" i="24"/>
  <c r="F103" i="24"/>
  <c r="I161" i="35"/>
  <c r="H44" i="25"/>
  <c r="L116" i="25"/>
  <c r="L108" i="25"/>
  <c r="I88" i="20"/>
  <c r="E98" i="20"/>
  <c r="E92" i="20" s="1"/>
  <c r="H45" i="25"/>
  <c r="I155" i="20"/>
  <c r="H87" i="21"/>
  <c r="E60" i="24"/>
  <c r="D10" i="31"/>
  <c r="E89" i="31"/>
  <c r="F89" i="31"/>
  <c r="I95" i="21"/>
  <c r="I89" i="21" s="1"/>
  <c r="G221" i="21"/>
  <c r="G219" i="21"/>
  <c r="E84" i="31"/>
  <c r="E309" i="35"/>
  <c r="C133" i="36"/>
  <c r="F133" i="36" s="1"/>
  <c r="F134" i="36"/>
  <c r="I216" i="35"/>
  <c r="I221" i="35"/>
  <c r="E308" i="35"/>
  <c r="E134" i="36"/>
  <c r="F101" i="36"/>
  <c r="F17" i="21"/>
  <c r="E304" i="21"/>
  <c r="E296" i="20"/>
  <c r="E414" i="20"/>
  <c r="F408" i="20"/>
  <c r="F413" i="20"/>
  <c r="F89" i="35"/>
  <c r="H216" i="35"/>
  <c r="H305" i="35"/>
  <c r="I305" i="35"/>
  <c r="I218" i="35"/>
  <c r="F77" i="36"/>
  <c r="E77" i="36"/>
  <c r="H220" i="35"/>
  <c r="E226" i="35"/>
  <c r="H431" i="21"/>
  <c r="E432" i="21"/>
  <c r="G13" i="20"/>
  <c r="G413" i="20"/>
  <c r="E189" i="35"/>
  <c r="G185" i="35"/>
  <c r="H437" i="35"/>
  <c r="E130" i="36"/>
  <c r="E129" i="36" s="1"/>
  <c r="E21" i="21"/>
  <c r="L40" i="25"/>
  <c r="G13" i="21"/>
  <c r="E125" i="21"/>
  <c r="E197" i="21"/>
  <c r="E323" i="21"/>
  <c r="G59" i="20"/>
  <c r="E221" i="20"/>
  <c r="E317" i="20"/>
  <c r="H59" i="35"/>
  <c r="E60" i="35"/>
  <c r="E187" i="35"/>
  <c r="H185" i="35"/>
  <c r="E239" i="35"/>
  <c r="F80" i="36"/>
  <c r="E19" i="21"/>
  <c r="F23" i="31"/>
  <c r="E18" i="20"/>
  <c r="E371" i="21"/>
  <c r="G12" i="20"/>
  <c r="E20" i="20"/>
  <c r="G84" i="20"/>
  <c r="E227" i="20"/>
  <c r="E323" i="20"/>
  <c r="F14" i="35"/>
  <c r="F17" i="35"/>
  <c r="E20" i="35"/>
  <c r="I59" i="35"/>
  <c r="E224" i="35"/>
  <c r="E365" i="35"/>
  <c r="E433" i="35"/>
  <c r="H218" i="35"/>
  <c r="H221" i="35"/>
  <c r="G86" i="21"/>
  <c r="E415" i="20"/>
  <c r="E377" i="21"/>
  <c r="E23" i="20"/>
  <c r="I15" i="35"/>
  <c r="E29" i="35"/>
  <c r="F121" i="36"/>
  <c r="F84" i="21"/>
  <c r="G87" i="21"/>
  <c r="E159" i="21"/>
  <c r="H161" i="21"/>
  <c r="M85" i="25"/>
  <c r="F13" i="20"/>
  <c r="E19" i="31"/>
  <c r="E64" i="35"/>
  <c r="E223" i="21"/>
  <c r="I18" i="25"/>
  <c r="I10" i="25" s="1"/>
  <c r="H112" i="25"/>
  <c r="I16" i="20"/>
  <c r="I10" i="20" s="1"/>
  <c r="H17" i="35"/>
  <c r="E19" i="35"/>
  <c r="E159" i="35"/>
  <c r="E267" i="35"/>
  <c r="F434" i="35"/>
  <c r="E434" i="35" s="1"/>
  <c r="E101" i="36"/>
  <c r="C18" i="36"/>
  <c r="C13" i="36" s="1"/>
  <c r="D67" i="36"/>
  <c r="D10" i="36" s="1"/>
  <c r="E89" i="36"/>
  <c r="D129" i="36"/>
  <c r="D128" i="36" s="1"/>
  <c r="E128" i="36" s="1"/>
  <c r="F28" i="24"/>
  <c r="I87" i="21"/>
  <c r="G216" i="21"/>
  <c r="E118" i="24"/>
  <c r="H152" i="25"/>
  <c r="F17" i="20"/>
  <c r="E225" i="21"/>
  <c r="I19" i="25"/>
  <c r="I11" i="25" s="1"/>
  <c r="H171" i="25"/>
  <c r="I87" i="35"/>
  <c r="F88" i="21"/>
  <c r="H88" i="20"/>
  <c r="F214" i="20"/>
  <c r="F87" i="35"/>
  <c r="E158" i="20"/>
  <c r="H28" i="24"/>
  <c r="F88" i="35"/>
  <c r="I85" i="35"/>
  <c r="I7" i="35" s="1"/>
  <c r="E162" i="21"/>
  <c r="F24" i="24"/>
  <c r="H29" i="24"/>
  <c r="I84" i="25"/>
  <c r="H84" i="25" s="1"/>
  <c r="H119" i="25"/>
  <c r="H138" i="25"/>
  <c r="H98" i="25"/>
  <c r="H172" i="25"/>
  <c r="E98" i="21"/>
  <c r="E92" i="21" s="1"/>
  <c r="H168" i="25"/>
  <c r="G39" i="24"/>
  <c r="I63" i="24"/>
  <c r="E108" i="24"/>
  <c r="E114" i="24"/>
  <c r="E133" i="24"/>
  <c r="I22" i="25"/>
  <c r="I14" i="25" s="1"/>
  <c r="I28" i="24"/>
  <c r="I85" i="21"/>
  <c r="I88" i="21"/>
  <c r="E51" i="24"/>
  <c r="G55" i="24"/>
  <c r="I79" i="24"/>
  <c r="H79" i="24"/>
  <c r="E84" i="24"/>
  <c r="E86" i="24"/>
  <c r="E89" i="24"/>
  <c r="E110" i="24"/>
  <c r="E130" i="24"/>
  <c r="E132" i="24"/>
  <c r="K21" i="25"/>
  <c r="K13" i="25" s="1"/>
  <c r="H111" i="25"/>
  <c r="H163" i="25"/>
  <c r="E34" i="24"/>
  <c r="E36" i="24"/>
  <c r="E59" i="24"/>
  <c r="G79" i="24"/>
  <c r="E85" i="24"/>
  <c r="G87" i="24"/>
  <c r="F87" i="24"/>
  <c r="I87" i="24"/>
  <c r="E115" i="24"/>
  <c r="E117" i="24"/>
  <c r="H97" i="25"/>
  <c r="J21" i="25"/>
  <c r="J13" i="25" s="1"/>
  <c r="H95" i="25"/>
  <c r="H128" i="25"/>
  <c r="H130" i="25"/>
  <c r="E153" i="20"/>
  <c r="G86" i="20"/>
  <c r="H155" i="21"/>
  <c r="F27" i="24"/>
  <c r="E43" i="24"/>
  <c r="E61" i="24"/>
  <c r="E68" i="24"/>
  <c r="I95" i="24"/>
  <c r="G111" i="24"/>
  <c r="G17" i="24"/>
  <c r="G25" i="24" s="1"/>
  <c r="H114" i="25"/>
  <c r="H129" i="25"/>
  <c r="H137" i="25"/>
  <c r="H139" i="25"/>
  <c r="J141" i="25"/>
  <c r="H148" i="25"/>
  <c r="H155" i="25"/>
  <c r="F149" i="20"/>
  <c r="E66" i="24"/>
  <c r="F63" i="24"/>
  <c r="H46" i="25"/>
  <c r="I21" i="25"/>
  <c r="H85" i="20"/>
  <c r="I91" i="20"/>
  <c r="I85" i="20" s="1"/>
  <c r="I7" i="20" s="1"/>
  <c r="E97" i="20"/>
  <c r="E91" i="20" s="1"/>
  <c r="E164" i="21"/>
  <c r="I161" i="21"/>
  <c r="I158" i="21"/>
  <c r="I86" i="21" s="1"/>
  <c r="I8" i="21" s="1"/>
  <c r="J157" i="25"/>
  <c r="H162" i="25"/>
  <c r="H26" i="24"/>
  <c r="H127" i="24"/>
  <c r="G127" i="24"/>
  <c r="E134" i="24"/>
  <c r="H96" i="25"/>
  <c r="L19" i="25"/>
  <c r="L11" i="25" s="1"/>
  <c r="J18" i="25"/>
  <c r="H158" i="35"/>
  <c r="H86" i="35" s="1"/>
  <c r="E164" i="35"/>
  <c r="H39" i="24"/>
  <c r="E40" i="24"/>
  <c r="L157" i="25"/>
  <c r="H161" i="25"/>
  <c r="J149" i="25"/>
  <c r="H153" i="25"/>
  <c r="G27" i="24"/>
  <c r="I55" i="24"/>
  <c r="H55" i="24"/>
  <c r="E58" i="24"/>
  <c r="J40" i="25"/>
  <c r="H47" i="25"/>
  <c r="J22" i="25"/>
  <c r="J14" i="25" s="1"/>
  <c r="H120" i="25"/>
  <c r="I116" i="25"/>
  <c r="L124" i="25"/>
  <c r="K133" i="25"/>
  <c r="H136" i="25"/>
  <c r="H145" i="25"/>
  <c r="J19" i="25"/>
  <c r="J11" i="25" s="1"/>
  <c r="H147" i="25"/>
  <c r="K141" i="25"/>
  <c r="I149" i="25"/>
  <c r="I20" i="25"/>
  <c r="H154" i="25"/>
  <c r="H160" i="25"/>
  <c r="K157" i="25"/>
  <c r="E98" i="35"/>
  <c r="E92" i="35" s="1"/>
  <c r="I95" i="35"/>
  <c r="I89" i="35" s="1"/>
  <c r="I92" i="35"/>
  <c r="I86" i="35" s="1"/>
  <c r="G156" i="35"/>
  <c r="G155" i="35" s="1"/>
  <c r="E162" i="35"/>
  <c r="G161" i="35"/>
  <c r="H94" i="21"/>
  <c r="H88" i="21" s="1"/>
  <c r="E100" i="21"/>
  <c r="E94" i="21" s="1"/>
  <c r="H71" i="24"/>
  <c r="E74" i="24"/>
  <c r="L141" i="25"/>
  <c r="H146" i="25"/>
  <c r="L20" i="25"/>
  <c r="L12" i="25" s="1"/>
  <c r="F71" i="24"/>
  <c r="E75" i="24"/>
  <c r="L21" i="25"/>
  <c r="L13" i="25" s="1"/>
  <c r="H85" i="21"/>
  <c r="H7" i="21" s="1"/>
  <c r="I26" i="24"/>
  <c r="E10" i="24"/>
  <c r="E26" i="24" s="1"/>
  <c r="E52" i="24"/>
  <c r="G47" i="24"/>
  <c r="E129" i="24"/>
  <c r="E121" i="24" s="1"/>
  <c r="E17" i="24" s="1"/>
  <c r="F121" i="24"/>
  <c r="F119" i="24" s="1"/>
  <c r="F127" i="24"/>
  <c r="J20" i="25"/>
  <c r="J12" i="25" s="1"/>
  <c r="K18" i="25"/>
  <c r="K124" i="25"/>
  <c r="L133" i="25"/>
  <c r="K165" i="25"/>
  <c r="H170" i="25"/>
  <c r="H90" i="35"/>
  <c r="H84" i="35" s="1"/>
  <c r="E96" i="35"/>
  <c r="E90" i="35" s="1"/>
  <c r="E163" i="21"/>
  <c r="G157" i="21"/>
  <c r="G161" i="21"/>
  <c r="H84" i="21"/>
  <c r="I121" i="24"/>
  <c r="I119" i="24" s="1"/>
  <c r="I127" i="24"/>
  <c r="E156" i="21"/>
  <c r="G95" i="21"/>
  <c r="E97" i="21"/>
  <c r="E91" i="21" s="1"/>
  <c r="I27" i="24"/>
  <c r="E44" i="24"/>
  <c r="F39" i="24"/>
  <c r="H47" i="24"/>
  <c r="E50" i="24"/>
  <c r="E76" i="24"/>
  <c r="E97" i="24"/>
  <c r="F95" i="24"/>
  <c r="E106" i="24"/>
  <c r="G103" i="24"/>
  <c r="E109" i="24"/>
  <c r="I103" i="24"/>
  <c r="L18" i="25"/>
  <c r="L10" i="25" s="1"/>
  <c r="L165" i="25"/>
  <c r="F85" i="20"/>
  <c r="I95" i="20"/>
  <c r="E96" i="20"/>
  <c r="E90" i="20" s="1"/>
  <c r="I90" i="20"/>
  <c r="E12" i="24"/>
  <c r="E28" i="24" s="1"/>
  <c r="J165" i="25"/>
  <c r="H169" i="25"/>
  <c r="H144" i="25"/>
  <c r="I108" i="25"/>
  <c r="J92" i="25"/>
  <c r="H95" i="21"/>
  <c r="H89" i="21" s="1"/>
  <c r="I40" i="25"/>
  <c r="F111" i="24"/>
  <c r="E160" i="21"/>
  <c r="F155" i="21"/>
  <c r="F26" i="24"/>
  <c r="H111" i="24"/>
  <c r="L92" i="25"/>
  <c r="H99" i="25"/>
  <c r="K22" i="25"/>
  <c r="K14" i="25" s="1"/>
  <c r="K92" i="25"/>
  <c r="H127" i="25"/>
  <c r="I124" i="25"/>
  <c r="G91" i="35"/>
  <c r="G85" i="35" s="1"/>
  <c r="E97" i="35"/>
  <c r="E91" i="35" s="1"/>
  <c r="G95" i="35"/>
  <c r="G89" i="35" s="1"/>
  <c r="E100" i="20"/>
  <c r="E94" i="20" s="1"/>
  <c r="E154" i="20"/>
  <c r="G87" i="35"/>
  <c r="H63" i="24"/>
  <c r="E78" i="24"/>
  <c r="E88" i="24"/>
  <c r="H95" i="24"/>
  <c r="H179" i="25"/>
  <c r="E157" i="20"/>
  <c r="F219" i="35"/>
  <c r="I84" i="35"/>
  <c r="H87" i="35"/>
  <c r="H9" i="35" s="1"/>
  <c r="E9" i="24"/>
  <c r="F31" i="24"/>
  <c r="F86" i="20"/>
  <c r="F8" i="20" s="1"/>
  <c r="H95" i="35"/>
  <c r="H89" i="35" s="1"/>
  <c r="E41" i="24"/>
  <c r="E46" i="24"/>
  <c r="F47" i="24"/>
  <c r="I47" i="24"/>
  <c r="F55" i="24"/>
  <c r="E62" i="24"/>
  <c r="G63" i="24"/>
  <c r="I71" i="24"/>
  <c r="H103" i="24"/>
  <c r="H17" i="24"/>
  <c r="H15" i="24" s="1"/>
  <c r="E99" i="20"/>
  <c r="E93" i="20" s="1"/>
  <c r="E11" i="24"/>
  <c r="E27" i="24" s="1"/>
  <c r="G31" i="24"/>
  <c r="H173" i="25"/>
  <c r="H87" i="20"/>
  <c r="F263" i="35"/>
  <c r="E263" i="35" s="1"/>
  <c r="H84" i="20"/>
  <c r="E150" i="20"/>
  <c r="I149" i="20"/>
  <c r="I86" i="20"/>
  <c r="E157" i="35"/>
  <c r="I155" i="35"/>
  <c r="G95" i="20"/>
  <c r="F15" i="24"/>
  <c r="E38" i="24"/>
  <c r="L22" i="25"/>
  <c r="H91" i="35"/>
  <c r="H85" i="35" s="1"/>
  <c r="H89" i="20"/>
  <c r="F89" i="20"/>
  <c r="G94" i="20"/>
  <c r="G88" i="20" s="1"/>
  <c r="E16" i="24"/>
  <c r="E70" i="24"/>
  <c r="G14" i="24"/>
  <c r="I14" i="24"/>
  <c r="G151" i="20"/>
  <c r="G85" i="20" s="1"/>
  <c r="H152" i="20"/>
  <c r="E152" i="20" s="1"/>
  <c r="E99" i="35"/>
  <c r="E93" i="35" s="1"/>
  <c r="E100" i="35"/>
  <c r="E94" i="35" s="1"/>
  <c r="E156" i="20"/>
  <c r="G24" i="24"/>
  <c r="H180" i="25"/>
  <c r="G93" i="20"/>
  <c r="H119" i="24"/>
  <c r="H95" i="20"/>
  <c r="H155" i="20"/>
  <c r="E8" i="24"/>
  <c r="E54" i="24"/>
  <c r="J373" i="3"/>
  <c r="G15" i="3"/>
  <c r="J193" i="3"/>
  <c r="G359" i="3"/>
  <c r="G114" i="3"/>
  <c r="G234" i="3"/>
  <c r="G25" i="3"/>
  <c r="G119" i="3"/>
  <c r="G164" i="3"/>
  <c r="G197" i="3"/>
  <c r="G195" i="3"/>
  <c r="G109" i="3"/>
  <c r="E185" i="21" l="1"/>
  <c r="F81" i="31"/>
  <c r="E95" i="31"/>
  <c r="E81" i="31"/>
  <c r="H8" i="35"/>
  <c r="F215" i="35"/>
  <c r="G9" i="21"/>
  <c r="E219" i="21"/>
  <c r="I11" i="35"/>
  <c r="I6" i="35"/>
  <c r="G8" i="20"/>
  <c r="F31" i="31"/>
  <c r="E17" i="21"/>
  <c r="E16" i="35"/>
  <c r="G11" i="3"/>
  <c r="G190" i="3"/>
  <c r="G229" i="3"/>
  <c r="I8" i="20"/>
  <c r="E14" i="35"/>
  <c r="G10" i="20"/>
  <c r="G7" i="35"/>
  <c r="I215" i="21"/>
  <c r="H7" i="35"/>
  <c r="I9" i="20"/>
  <c r="F7" i="21"/>
  <c r="G215" i="35"/>
  <c r="H9" i="20"/>
  <c r="I9" i="21"/>
  <c r="H10" i="20"/>
  <c r="E217" i="35"/>
  <c r="G8" i="35"/>
  <c r="H11" i="35"/>
  <c r="E15" i="20"/>
  <c r="I7" i="21"/>
  <c r="E12" i="35"/>
  <c r="E210" i="20"/>
  <c r="F9" i="20"/>
  <c r="H8" i="21"/>
  <c r="H7" i="24"/>
  <c r="F6" i="35"/>
  <c r="H6" i="35"/>
  <c r="E12" i="31"/>
  <c r="G11" i="35"/>
  <c r="E215" i="20"/>
  <c r="C94" i="31"/>
  <c r="F94" i="31" s="1"/>
  <c r="F209" i="20"/>
  <c r="E17" i="20"/>
  <c r="F11" i="31"/>
  <c r="E220" i="21"/>
  <c r="F7" i="20"/>
  <c r="I10" i="21"/>
  <c r="E431" i="21"/>
  <c r="E12" i="36"/>
  <c r="E212" i="20"/>
  <c r="E213" i="20"/>
  <c r="I209" i="20"/>
  <c r="E88" i="35"/>
  <c r="I10" i="35"/>
  <c r="I6" i="21"/>
  <c r="F11" i="21"/>
  <c r="H209" i="20"/>
  <c r="E15" i="21"/>
  <c r="F128" i="36"/>
  <c r="F30" i="31"/>
  <c r="F9" i="21"/>
  <c r="H10" i="35"/>
  <c r="F7" i="24"/>
  <c r="E25" i="24"/>
  <c r="G221" i="35"/>
  <c r="E221" i="35" s="1"/>
  <c r="F83" i="21"/>
  <c r="E299" i="21"/>
  <c r="D51" i="31"/>
  <c r="F52" i="31"/>
  <c r="E52" i="31"/>
  <c r="E119" i="24"/>
  <c r="H25" i="24"/>
  <c r="H23" i="24" s="1"/>
  <c r="E103" i="24"/>
  <c r="E95" i="24"/>
  <c r="H7" i="20"/>
  <c r="F10" i="35"/>
  <c r="G10" i="21"/>
  <c r="I11" i="20"/>
  <c r="F11" i="20"/>
  <c r="F12" i="36"/>
  <c r="E12" i="20"/>
  <c r="C29" i="31"/>
  <c r="C9" i="31" s="1"/>
  <c r="E59" i="36"/>
  <c r="E211" i="20"/>
  <c r="E59" i="20"/>
  <c r="E31" i="31"/>
  <c r="E220" i="35"/>
  <c r="C33" i="36"/>
  <c r="E305" i="35"/>
  <c r="E293" i="20"/>
  <c r="H11" i="20"/>
  <c r="H215" i="21"/>
  <c r="E218" i="21"/>
  <c r="E14" i="20"/>
  <c r="E12" i="21"/>
  <c r="F215" i="21"/>
  <c r="G10" i="35"/>
  <c r="E47" i="24"/>
  <c r="E63" i="24"/>
  <c r="G9" i="35"/>
  <c r="G6" i="21"/>
  <c r="E225" i="35"/>
  <c r="E14" i="21"/>
  <c r="F7" i="35"/>
  <c r="I8" i="35"/>
  <c r="E59" i="35"/>
  <c r="E437" i="35"/>
  <c r="E15" i="35"/>
  <c r="E221" i="21"/>
  <c r="H9" i="21"/>
  <c r="C92" i="36"/>
  <c r="E30" i="31"/>
  <c r="G84" i="35"/>
  <c r="G6" i="35" s="1"/>
  <c r="H6" i="20"/>
  <c r="H165" i="25"/>
  <c r="F10" i="21"/>
  <c r="E86" i="21"/>
  <c r="E218" i="35"/>
  <c r="E185" i="35"/>
  <c r="E413" i="20"/>
  <c r="E16" i="20"/>
  <c r="I11" i="21"/>
  <c r="H11" i="21"/>
  <c r="G15" i="24"/>
  <c r="F83" i="35"/>
  <c r="I9" i="35"/>
  <c r="E17" i="35"/>
  <c r="G6" i="20"/>
  <c r="F425" i="21"/>
  <c r="E425" i="21" s="1"/>
  <c r="G11" i="21"/>
  <c r="F8" i="21"/>
  <c r="I215" i="35"/>
  <c r="E59" i="21"/>
  <c r="E217" i="21"/>
  <c r="H108" i="25"/>
  <c r="H116" i="25"/>
  <c r="E156" i="35"/>
  <c r="E111" i="24"/>
  <c r="H19" i="25"/>
  <c r="H11" i="25" s="1"/>
  <c r="G8" i="21"/>
  <c r="F23" i="24"/>
  <c r="E87" i="21"/>
  <c r="E31" i="24"/>
  <c r="G215" i="21"/>
  <c r="E216" i="21"/>
  <c r="F11" i="35"/>
  <c r="E10" i="31"/>
  <c r="F431" i="35"/>
  <c r="E431" i="35" s="1"/>
  <c r="E214" i="20"/>
  <c r="F10" i="20"/>
  <c r="E408" i="20"/>
  <c r="F407" i="20"/>
  <c r="E407" i="20" s="1"/>
  <c r="E155" i="20"/>
  <c r="E13" i="36"/>
  <c r="E13" i="20"/>
  <c r="E216" i="35"/>
  <c r="E15" i="24"/>
  <c r="H40" i="25"/>
  <c r="E161" i="21"/>
  <c r="F83" i="20"/>
  <c r="E127" i="24"/>
  <c r="E87" i="24"/>
  <c r="M92" i="25"/>
  <c r="F6" i="21"/>
  <c r="F67" i="36"/>
  <c r="E67" i="36"/>
  <c r="D33" i="36"/>
  <c r="G11" i="20"/>
  <c r="F6" i="20"/>
  <c r="F10" i="31"/>
  <c r="F9" i="35"/>
  <c r="E71" i="24"/>
  <c r="F8" i="35"/>
  <c r="F18" i="36"/>
  <c r="C10" i="36"/>
  <c r="E10" i="36" s="1"/>
  <c r="E18" i="36"/>
  <c r="E133" i="36"/>
  <c r="H215" i="35"/>
  <c r="E13" i="21"/>
  <c r="E79" i="24"/>
  <c r="M40" i="25"/>
  <c r="H133" i="25"/>
  <c r="H157" i="25"/>
  <c r="E85" i="35"/>
  <c r="I83" i="35"/>
  <c r="E39" i="24"/>
  <c r="H141" i="25"/>
  <c r="E55" i="24"/>
  <c r="H124" i="25"/>
  <c r="H92" i="25"/>
  <c r="H149" i="25"/>
  <c r="J15" i="25"/>
  <c r="J7" i="25" s="1"/>
  <c r="J10" i="25"/>
  <c r="H18" i="25"/>
  <c r="H10" i="25" s="1"/>
  <c r="I155" i="21"/>
  <c r="E158" i="21"/>
  <c r="K15" i="25"/>
  <c r="K7" i="25" s="1"/>
  <c r="K10" i="25"/>
  <c r="E161" i="35"/>
  <c r="E219" i="35"/>
  <c r="E95" i="20"/>
  <c r="I83" i="21"/>
  <c r="G89" i="21"/>
  <c r="E95" i="21"/>
  <c r="E89" i="21" s="1"/>
  <c r="H155" i="35"/>
  <c r="H6" i="21"/>
  <c r="H83" i="21"/>
  <c r="H20" i="25"/>
  <c r="H12" i="25" s="1"/>
  <c r="I12" i="25"/>
  <c r="I15" i="25"/>
  <c r="I7" i="25" s="1"/>
  <c r="H83" i="35"/>
  <c r="E158" i="35"/>
  <c r="I17" i="24"/>
  <c r="I89" i="20"/>
  <c r="I84" i="20"/>
  <c r="I6" i="20" s="1"/>
  <c r="G155" i="21"/>
  <c r="E157" i="21"/>
  <c r="E95" i="35"/>
  <c r="E89" i="35" s="1"/>
  <c r="H10" i="21"/>
  <c r="E88" i="21"/>
  <c r="E84" i="21"/>
  <c r="I13" i="25"/>
  <c r="H21" i="25"/>
  <c r="H13" i="25" s="1"/>
  <c r="E86" i="35"/>
  <c r="E87" i="35"/>
  <c r="H149" i="20"/>
  <c r="M141" i="25"/>
  <c r="G85" i="21"/>
  <c r="G89" i="20"/>
  <c r="G87" i="20"/>
  <c r="G83" i="20" s="1"/>
  <c r="E85" i="20"/>
  <c r="G7" i="20"/>
  <c r="E151" i="20"/>
  <c r="E149" i="20" s="1"/>
  <c r="G149" i="20"/>
  <c r="E24" i="24"/>
  <c r="I7" i="24"/>
  <c r="I30" i="24"/>
  <c r="H86" i="20"/>
  <c r="E14" i="24"/>
  <c r="E30" i="24" s="1"/>
  <c r="G30" i="24"/>
  <c r="G23" i="24" s="1"/>
  <c r="H22" i="25"/>
  <c r="H14" i="25" s="1"/>
  <c r="L15" i="25"/>
  <c r="L14" i="25"/>
  <c r="G7" i="24"/>
  <c r="E88" i="20"/>
  <c r="G96" i="3"/>
  <c r="G244" i="3"/>
  <c r="G349" i="3"/>
  <c r="G194" i="3"/>
  <c r="G230" i="3"/>
  <c r="E33" i="36" l="1"/>
  <c r="E10" i="20"/>
  <c r="E209" i="20"/>
  <c r="E7" i="35"/>
  <c r="E94" i="31"/>
  <c r="I5" i="20"/>
  <c r="G370" i="3"/>
  <c r="G369" i="3"/>
  <c r="I5" i="21"/>
  <c r="E11" i="20"/>
  <c r="H5" i="35"/>
  <c r="E11" i="21"/>
  <c r="E11" i="35"/>
  <c r="E9" i="35"/>
  <c r="G5" i="35"/>
  <c r="F5" i="20"/>
  <c r="E9" i="21"/>
  <c r="I5" i="35"/>
  <c r="G83" i="35"/>
  <c r="E83" i="35" s="1"/>
  <c r="E7" i="20"/>
  <c r="E8" i="21"/>
  <c r="E6" i="21"/>
  <c r="E10" i="35"/>
  <c r="E155" i="35"/>
  <c r="E84" i="35"/>
  <c r="E215" i="21"/>
  <c r="D50" i="31"/>
  <c r="E51" i="31"/>
  <c r="F51" i="31"/>
  <c r="E155" i="21"/>
  <c r="F5" i="35"/>
  <c r="F92" i="36"/>
  <c r="E92" i="36"/>
  <c r="E10" i="21"/>
  <c r="E8" i="35"/>
  <c r="E215" i="35"/>
  <c r="F5" i="21"/>
  <c r="C9" i="36"/>
  <c r="C7" i="36" s="1"/>
  <c r="F10" i="36"/>
  <c r="F13" i="36"/>
  <c r="D9" i="36"/>
  <c r="I83" i="20"/>
  <c r="E6" i="20"/>
  <c r="C7" i="31"/>
  <c r="E7" i="24"/>
  <c r="E89" i="20"/>
  <c r="E84" i="20"/>
  <c r="E85" i="21"/>
  <c r="G7" i="21"/>
  <c r="G83" i="21"/>
  <c r="E83" i="21" s="1"/>
  <c r="I25" i="24"/>
  <c r="I23" i="24" s="1"/>
  <c r="I15" i="24"/>
  <c r="H5" i="21"/>
  <c r="E23" i="24"/>
  <c r="H15" i="25"/>
  <c r="H7" i="25" s="1"/>
  <c r="L7" i="25"/>
  <c r="G9" i="20"/>
  <c r="E9" i="20" s="1"/>
  <c r="E87" i="20"/>
  <c r="H8" i="20"/>
  <c r="E86" i="20"/>
  <c r="H83" i="20"/>
  <c r="E6" i="35"/>
  <c r="G19" i="3"/>
  <c r="G189" i="3"/>
  <c r="G192" i="3"/>
  <c r="G10" i="3" l="1"/>
  <c r="E5" i="35"/>
  <c r="F9" i="36"/>
  <c r="E83" i="20"/>
  <c r="D29" i="31"/>
  <c r="E50" i="31"/>
  <c r="F50" i="31"/>
  <c r="E9" i="36"/>
  <c r="D7" i="36"/>
  <c r="E7" i="21"/>
  <c r="G5" i="21"/>
  <c r="E5" i="21" s="1"/>
  <c r="E8" i="20"/>
  <c r="H5" i="20"/>
  <c r="G5" i="20"/>
  <c r="G9" i="3"/>
  <c r="G6" i="3"/>
  <c r="G5" i="3"/>
  <c r="D9" i="31" l="1"/>
  <c r="F29" i="31"/>
  <c r="E29" i="31"/>
  <c r="E7" i="36"/>
  <c r="H7" i="36"/>
  <c r="F7" i="36"/>
  <c r="E5" i="20"/>
  <c r="E9" i="31" l="1"/>
  <c r="F9" i="31"/>
  <c r="D7" i="31"/>
  <c r="F7" i="31" l="1"/>
  <c r="E7" i="31"/>
  <c r="G159" i="3" l="1"/>
  <c r="G100" i="3" l="1"/>
  <c r="G99" i="3"/>
  <c r="E4" i="3"/>
  <c r="E14" i="3"/>
  <c r="G17" i="3"/>
  <c r="F14" i="3"/>
  <c r="G14" i="3" s="1"/>
  <c r="F7" i="3"/>
  <c r="F4" i="3" s="1"/>
  <c r="G4" i="3" s="1"/>
  <c r="G7" i="3" l="1"/>
</calcChain>
</file>

<file path=xl/comments1.xml><?xml version="1.0" encoding="utf-8"?>
<comments xmlns="http://schemas.openxmlformats.org/spreadsheetml/2006/main">
  <authors>
    <author>Семенова</author>
  </authors>
  <commentList>
    <comment ref="Q12" authorId="0">
      <text>
        <r>
          <rPr>
            <b/>
            <sz val="9"/>
            <color indexed="81"/>
            <rFont val="Tahoma"/>
            <charset val="1"/>
          </rPr>
          <t>Семенова:</t>
        </r>
        <r>
          <rPr>
            <sz val="9"/>
            <color indexed="81"/>
            <rFont val="Tahoma"/>
            <charset val="1"/>
          </rPr>
          <t xml:space="preserve">
Объект полностью готов? Остаточная стоимость тогда откуда?</t>
        </r>
        <r>
          <rPr>
            <b/>
            <sz val="9"/>
            <color indexed="81"/>
            <rFont val="Tahoma"/>
            <family val="2"/>
            <charset val="204"/>
          </rPr>
          <t>Объект полностью готов.</t>
        </r>
      </text>
    </comment>
    <comment ref="I17" authorId="0">
      <text>
        <r>
          <rPr>
            <b/>
            <sz val="9"/>
            <color indexed="81"/>
            <rFont val="Tahoma"/>
            <charset val="1"/>
          </rPr>
          <t>Семенова:</t>
        </r>
        <r>
          <rPr>
            <sz val="9"/>
            <color indexed="81"/>
            <rFont val="Tahoma"/>
            <charset val="1"/>
          </rPr>
          <t xml:space="preserve">
откуда? В отчете за 9 месяцев не было</t>
        </r>
      </text>
    </comment>
    <comment ref="E22" authorId="0">
      <text>
        <r>
          <rPr>
            <b/>
            <sz val="9"/>
            <color indexed="81"/>
            <rFont val="Tahoma"/>
            <charset val="1"/>
          </rPr>
          <t>Семенова:</t>
        </r>
        <r>
          <rPr>
            <sz val="9"/>
            <color indexed="81"/>
            <rFont val="Tahoma"/>
            <charset val="1"/>
          </rPr>
          <t xml:space="preserve">
в ГП 2022-ввод объекта в эксплуатацию</t>
        </r>
      </text>
    </comment>
    <comment ref="F52" authorId="0">
      <text>
        <r>
          <rPr>
            <b/>
            <sz val="9"/>
            <color indexed="81"/>
            <rFont val="Tahoma"/>
            <family val="2"/>
            <charset val="204"/>
          </rPr>
          <t>Семенова:</t>
        </r>
        <r>
          <rPr>
            <sz val="9"/>
            <color indexed="81"/>
            <rFont val="Tahoma"/>
            <family val="2"/>
            <charset val="204"/>
          </rPr>
          <t xml:space="preserve">
в ГП 389504,1
</t>
        </r>
        <r>
          <rPr>
            <i/>
            <sz val="9"/>
            <color indexed="81"/>
            <rFont val="Tahoma"/>
            <family val="2"/>
            <charset val="204"/>
          </rPr>
          <t>В отчете указана стоимость в ред. от 07.02.23</t>
        </r>
      </text>
    </comment>
    <comment ref="L52" authorId="0">
      <text>
        <r>
          <rPr>
            <b/>
            <sz val="9"/>
            <color indexed="81"/>
            <rFont val="Tahoma"/>
            <family val="2"/>
            <charset val="204"/>
          </rPr>
          <t>Семенова:</t>
        </r>
        <r>
          <rPr>
            <sz val="9"/>
            <color indexed="81"/>
            <rFont val="Tahoma"/>
            <family val="2"/>
            <charset val="204"/>
          </rPr>
          <t xml:space="preserve">
</t>
        </r>
        <r>
          <rPr>
            <sz val="9"/>
            <color indexed="81"/>
            <rFont val="Tahoma"/>
            <family val="2"/>
            <charset val="204"/>
          </rPr>
          <t xml:space="preserve">в отчете за 9 месяцев было 100542,8 
</t>
        </r>
        <r>
          <rPr>
            <i/>
            <sz val="9"/>
            <color indexed="81"/>
            <rFont val="Tahoma"/>
            <family val="2"/>
            <charset val="204"/>
          </rPr>
          <t>Очевидно за 9 мес. стояла касса вместо освоения. Сейчас верно указано (см. отчет муниципального образования)</t>
        </r>
      </text>
    </comment>
    <comment ref="K53" authorId="0">
      <text>
        <r>
          <rPr>
            <b/>
            <sz val="9"/>
            <color indexed="81"/>
            <rFont val="Tahoma"/>
            <family val="2"/>
            <charset val="204"/>
          </rPr>
          <t>Семенова:</t>
        </r>
        <r>
          <rPr>
            <sz val="9"/>
            <color indexed="81"/>
            <rFont val="Tahoma"/>
            <family val="2"/>
            <charset val="204"/>
          </rPr>
          <t xml:space="preserve">
у минфина 343015
</t>
        </r>
        <r>
          <rPr>
            <i/>
            <sz val="9"/>
            <color indexed="81"/>
            <rFont val="Tahoma"/>
            <family val="2"/>
            <charset val="204"/>
          </rPr>
          <t>В отчете верно, см. отчет о состоянии личевого счета</t>
        </r>
      </text>
    </comment>
    <comment ref="F57" authorId="0">
      <text>
        <r>
          <rPr>
            <b/>
            <sz val="9"/>
            <color indexed="81"/>
            <rFont val="Tahoma"/>
            <family val="2"/>
            <charset val="204"/>
          </rPr>
          <t>Семенова:</t>
        </r>
        <r>
          <rPr>
            <sz val="9"/>
            <color indexed="81"/>
            <rFont val="Tahoma"/>
            <family val="2"/>
            <charset val="204"/>
          </rPr>
          <t xml:space="preserve">
в ГП от 28.12.2022 509175
</t>
        </r>
        <r>
          <rPr>
            <i/>
            <sz val="9"/>
            <color indexed="81"/>
            <rFont val="Tahoma"/>
            <family val="2"/>
            <charset val="204"/>
          </rPr>
          <t xml:space="preserve">В отчете указана стоимость в ред. от 07.02.23, в редакции от 28.12.22 указана стоимость 513677,7
</t>
        </r>
      </text>
    </comment>
    <comment ref="K58" authorId="0">
      <text>
        <r>
          <rPr>
            <b/>
            <sz val="9"/>
            <color indexed="81"/>
            <rFont val="Tahoma"/>
            <family val="2"/>
            <charset val="204"/>
          </rPr>
          <t>Семенова:</t>
        </r>
        <r>
          <rPr>
            <sz val="9"/>
            <color indexed="81"/>
            <rFont val="Tahoma"/>
            <family val="2"/>
            <charset val="204"/>
          </rPr>
          <t xml:space="preserve">
у минфина 316809,3
</t>
        </r>
        <r>
          <rPr>
            <i/>
            <sz val="9"/>
            <color indexed="81"/>
            <rFont val="Tahoma"/>
            <family val="2"/>
            <charset val="204"/>
          </rPr>
          <t>В отчете верно, см. отчет о состоянии личевого счета</t>
        </r>
      </text>
    </comment>
  </commentList>
</comments>
</file>

<file path=xl/sharedStrings.xml><?xml version="1.0" encoding="utf-8"?>
<sst xmlns="http://schemas.openxmlformats.org/spreadsheetml/2006/main" count="9298" uniqueCount="3202">
  <si>
    <t>План реализации государственной программы</t>
  </si>
  <si>
    <t xml:space="preserve"> № п/п</t>
  </si>
  <si>
    <t>Государственная программа, подпрограмма, основное мероприятие, мероприятие</t>
  </si>
  <si>
    <t xml:space="preserve"> Срок выполнения</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</si>
  <si>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</si>
  <si>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</si>
  <si>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</si>
  <si>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По годам реализации</t>
  </si>
  <si>
    <t>Всего</t>
  </si>
  <si>
    <t>ОБ</t>
  </si>
  <si>
    <t>ФБ</t>
  </si>
  <si>
    <t>МБ</t>
  </si>
  <si>
    <t>ВБС</t>
  </si>
  <si>
    <t xml:space="preserve">Государственная программа "Развитие физической культуры и спорта" </t>
  </si>
  <si>
    <t>2014-2020</t>
  </si>
  <si>
    <t>КФКиС МО, Минстрой МО</t>
  </si>
  <si>
    <t>1.</t>
  </si>
  <si>
    <t>Подпрограмма 1 "Развитие массового спорта"</t>
  </si>
  <si>
    <t>КФКиС МО, подведомственные учреждения</t>
  </si>
  <si>
    <t>1.1.1.</t>
  </si>
  <si>
    <t>Основное мероприятие 1 "Обеспечение организации и проведения физкультурных мероприятий и массовых спортивных мероприятий"</t>
  </si>
  <si>
    <t xml:space="preserve">Доля обучающихся и студентов, систематически занимающихся физической культурой и спортом, в общей численности обучающихся и студентов. </t>
  </si>
  <si>
    <t>Субсидия на финансовое обеспечение выполнения государственного задания</t>
  </si>
  <si>
    <t>ГАУМО "ЦСП"</t>
  </si>
  <si>
    <t>Обучение навыкам плавания, проведение учебно-тренировочных занятий по плаванию для детей и подростков в возрасте  от 6 до 18 лет</t>
  </si>
  <si>
    <t xml:space="preserve">Обучение плаванию ежегодно не менее 500 человек </t>
  </si>
  <si>
    <t>КФКиС МО</t>
  </si>
  <si>
    <t>Организация оздоровительного процесса в плавательных бассейнах для граждан пожилого возраста, инвалидов, граждан, находящихся в трудной жизненной ситуации, детей-сирот, детей, оставшихся без попечения родителей</t>
  </si>
  <si>
    <t xml:space="preserve">Ежегодная организация оздоровительного процесса в плавательных бассейнах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</si>
  <si>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Закупка спортивного оборудования для СДЮСШОР</t>
  </si>
  <si>
    <t>2016-2017</t>
  </si>
  <si>
    <t>Закупка спортивного оборудования, сертифицированного в соответствии с национальными стандартами (ГОСТ Р), для СДЮСШОР</t>
  </si>
  <si>
    <t>ГАУМО «МОСШОР по зимним видам спорта», ГАУМО "Кировская СШОР", ГАУМО "Мончегорская СШОР", ГАУМО "МОСШОР", КФКиС МО</t>
  </si>
  <si>
    <t>1.2.1.</t>
  </si>
  <si>
    <t>Основное мероприятие 2 "Реализация мероприятий по пропаганде здорового образа жизни и вовлечению населения в занятия физической культурой и массовым спортом"</t>
  </si>
  <si>
    <t xml:space="preserve"> Доля граждан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 Доля граждан Мурманской области, занимающихся физической культурой и спортом по месту работы, в общей численности населения занятого в экономике.</t>
  </si>
  <si>
    <t>Изготовление видеофильмов и видеороликов, изданий методической литературы по вопросам здорового образа жизни, физической культуре и спорту. Трансляция на областных телеканалах физкультурно-оздоровительных программ в помощь самостоятельно занимающимся физическими упражнениями и спортом.</t>
  </si>
  <si>
    <t>Ежегодное изготовление и трансляция 1 физкультурно-оздоровительной программе</t>
  </si>
  <si>
    <t>Реализация плана мероприятий по поэтапному внедрению Всероссийского физкультурно-спортивного комплекса "Готов к труду и обороне" (ГТО)  в Мурманской области</t>
  </si>
  <si>
    <t xml:space="preserve"> ГАУМО «МОСШОР», ГАУМО "ЦСП"</t>
  </si>
  <si>
    <t>2.</t>
  </si>
  <si>
    <t>Подпрограмма 2 "Подготовка спортивного резерва"</t>
  </si>
  <si>
    <t>КФКиС МО, администрации муниципальных образований МО, подведомственные учреждения</t>
  </si>
  <si>
    <t>2.1.1.</t>
  </si>
  <si>
    <t>Основное мероприятие 1 "Проведение спортивных мероприятий, материально-техническое обеспечение спортивных сборных команд Мурманской области"</t>
  </si>
  <si>
    <t xml:space="preserve">Доля спортсменов-разрядников в общем количестве лиц, занимающихся в системе специализированых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t>
  </si>
  <si>
    <t>Проведение ежегодно более 175 всероссийских, областных и межмуниципальных официальных спортивных мероприятий, тренировочных сборов спортивных сборных команд Мурманской области и сборных команд России на территории Мурманской области, обеспечение участия спортивных сборных команд Мурманской области в более 300 международных, всероссийских и межрегиональных официальных спортивных мероприятиях и организация мероприятий по подготовке спортивных сборных команд Мурманской обласити в соответствии с  календарным планом официальных физкультурных мероприятий и спортивных мероприятий Мурманской области на соответствующий год.</t>
  </si>
  <si>
    <r>
      <t xml:space="preserve">ГАУМО "ЦСП", ГАУМО «КСШОР»,  ГАУМО «Мончегорская СШОР», ГАУМО </t>
    </r>
    <r>
      <rPr>
        <sz val="6"/>
        <rFont val="Times New Roman"/>
        <family val="1"/>
        <charset val="204"/>
      </rPr>
      <t>«Кировская СШОР»</t>
    </r>
    <r>
      <rPr>
        <sz val="6"/>
        <color indexed="8"/>
        <rFont val="Times New Roman"/>
        <family val="1"/>
        <charset val="204"/>
      </rPr>
      <t xml:space="preserve"> </t>
    </r>
  </si>
  <si>
    <t>Проведение мероприятий международного традиционного Праздника Севера</t>
  </si>
  <si>
    <t>Ежегодное проведение не менее 10 мероприятий международного традиционного Праздника Севера.</t>
  </si>
  <si>
    <t>Организация и проведение церемонии награждения спортсменов, тренеров, ветеранов спорта и физкультурного актива  Мурманской области</t>
  </si>
  <si>
    <t>Ежегодная организация и проведение церемонии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t>
  </si>
  <si>
    <t>Организация и проведение смотров-конкурсов среди учреждений спортивной направленности</t>
  </si>
  <si>
    <t>Ежегодная организация и проведение не менее 2 смотров-конкурсов среди учреждений спортивной направленности</t>
  </si>
  <si>
    <t>Проведение тренировочных сборов сборных команд Мурманской области по видам спорта на спортсооружениях  ГОУП «УСЦ»</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</si>
  <si>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t>
  </si>
  <si>
    <t>Выплата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на Олимпийских, Паралимпийских и Сурдлимпийских играх, чемпионатах, кубках мира и Европы, чемпионатах России</t>
  </si>
  <si>
    <t xml:space="preserve">Ежегодная выплата единовременного денежного вознаграждения не менее, чем 6 спортсменам,  их тренерам </t>
  </si>
  <si>
    <t>2.2.1.</t>
  </si>
  <si>
    <t>Основное мероприятие 2 "Реализация программ спортивной подготовки в сфере физичечской культуры и спорта подведомственными учреждениями"</t>
  </si>
  <si>
    <t>Доля спортсменов разрядников, имеющие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 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t>
  </si>
  <si>
    <t xml:space="preserve">ГАУМО «ЦСП», ГАУМО «КСШОР», ГАУМО «МОСШОР по зимним видам спорта», ГАУМО «МОСШОР», ГАУМО «Мончегорская СШОР», ГАУМО «Кировская СШОР» </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</si>
  <si>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</si>
  <si>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Ежегодная компенсация расходов на оплату стоимости проезда и провоза багажа к месту использования отпуска и обратно лицам, работающим в 6 организациях, финансируемых из областного бюджета</t>
  </si>
  <si>
    <t xml:space="preserve">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 </t>
  </si>
  <si>
    <t>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 за счет федерального бюджета</t>
  </si>
  <si>
    <t>ГАУМО «ЦСП»</t>
  </si>
  <si>
    <t>2.2.2.</t>
  </si>
  <si>
    <t>Основное мероприятие 3 "Обеспечение спортивного резерва инвентарем и оборудованием"</t>
  </si>
  <si>
    <t>Доля спортсменов-разрядников в общем количестве лиц, занимающихся в системе специализированых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Доля спортсменов разрядников, имеющие разряды и звания (от 1 разряда до спортивного звания «Заслуженный мастер спорта» в общем количестве спортсменов-разрядников в системе специализированых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t>
  </si>
  <si>
    <t>Развитие информационно-технологической инфраструктуры подведомственных учреждений</t>
  </si>
  <si>
    <t>Приобретение лицензированных программных продуктов, технических компьютерных средств для нужд 6 подведомственных учреждений</t>
  </si>
  <si>
    <t>Содержание имущества подведомственных учреждений</t>
  </si>
  <si>
    <t>Ремонт снегоуплотнительной техники с навесным оборудованием</t>
  </si>
  <si>
    <t>Приобретение оборудования и инвентаря (трактора и прицепа)</t>
  </si>
  <si>
    <t>Приобретение 2 единицы машиноуборочной (коммунальной) техники (трактора и прицепа)</t>
  </si>
  <si>
    <t>3.</t>
  </si>
  <si>
    <t>Подпрограмма 3 "Развитие спортивной инфраструктуры"</t>
  </si>
  <si>
    <t>КФКиС МО, Минстрой МО, ГОКУ «УКС МО», ГОУП УСЦ, ГАУМО «Мончегорская СШОР по горнолыжному спорту», муниципальные образования МО</t>
  </si>
  <si>
    <t>3.1.1.</t>
  </si>
  <si>
    <t>Основное мероприятие 1 "Строительство, реконструкция и модернизация спортивных объектов Мурманской области"</t>
  </si>
  <si>
    <t>Единовременная пропускная способность объектов спорта. Единовременная пропускная способность объектов спорта, введенных в эксплуатацию в рамках Программы. Эффективность использования существующих объектов спорта.</t>
  </si>
  <si>
    <t>КФКиС МО, Минстрой МО,  ГОКУ «УКС МО», ГОУП УСЦ, ГАУМО «Мончегорская СШОР по горнолыжному спорту», муниципальные образования МО</t>
  </si>
  <si>
    <t xml:space="preserve">Строительство объекта «Лыжероллерная трасса. Водоотводные сооружения лыжного стадиона спорткомплекса "Долина Уюта" в г. Мурманске»
</t>
  </si>
  <si>
    <t>2014-2016</t>
  </si>
  <si>
    <t>Минстрой МО, ГОУП УСЦ</t>
  </si>
  <si>
    <t>2015-2020</t>
  </si>
  <si>
    <t>Приобретение и установка не менее 5 спортивных площадок ежегодно.</t>
  </si>
  <si>
    <t xml:space="preserve">Строительство объекта "Межшкольный стадион в г. Мурманске"                                                                                                                                                                                                               </t>
  </si>
  <si>
    <t>Минстрой МО, ГОКУ «УКС МО»</t>
  </si>
  <si>
    <t>Минстрой МО,
МО г.Полярные Зори с п.т</t>
  </si>
  <si>
    <t>Строительство объекта "Физкультурно-оздоровительный комплекс открытого типа в жилом районе Росляково г. Мурманска"</t>
  </si>
  <si>
    <t>Ввод объекта в эксплуатацию в 2017 году.</t>
  </si>
  <si>
    <t>Минстрой МО, 
МО г. Мурманск</t>
  </si>
  <si>
    <t>Строительство объекта "Плавательный бассейн в г. Кандалакша"</t>
  </si>
  <si>
    <t>2011-2016</t>
  </si>
  <si>
    <t>Ввод объекта в эксплуатацию в 2016 году.</t>
  </si>
  <si>
    <t>Строительство объекта "Спортивно-оздоровительный центр с искуственным ледовым покрытием в г. Кировске"</t>
  </si>
  <si>
    <t>Минстрой МО, МО г. Кировск</t>
  </si>
  <si>
    <t>Разработка ПСД по объекту "Реконструкция здания плавательного бассейна по 
ул. Челюскинцев, д.2 в г. Мурманске"</t>
  </si>
  <si>
    <t>Минстрой МО, ГОУП "УСЦ"</t>
  </si>
  <si>
    <t>Разработка ПСД по объекту "Комплексное развитие спорткомплекса "Долина Уюта" в г. Мурманске"</t>
  </si>
  <si>
    <t>3.2.1.</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</si>
  <si>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</si>
  <si>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Эффективность использования существующих объектов спорта. Количество спортивных сооружений, осуществивших капитальный и текущий  ремонт.</t>
  </si>
  <si>
    <t>Минстрой МО, КФКиС МО, администрации муниципальных образований МО, подведомственные учреждения</t>
  </si>
  <si>
    <t xml:space="preserve">Возмещение затрат юридических лиц  в части  содержания государственного имущества    </t>
  </si>
  <si>
    <t xml:space="preserve">Возмещение затрат ГОУП «УСЦ»  в части  содержания государственного имущества. В 2016 году проведение плановых ремонтных работ имущества ГОУП "УСЦ".    </t>
  </si>
  <si>
    <t>КФКиС МО, ГОУП УСЦ</t>
  </si>
  <si>
    <t>Капитальный ремонт здания дворца спорта "Металлург" в п.Никель</t>
  </si>
  <si>
    <t>Минстрой МО,
МО г.п. Никель Печенгского района</t>
  </si>
  <si>
    <t>Предоставление субсидии  из областного бюджета на капитальный ремонт тренажерного зала МБУ "Культурно спортивный центр" в гп Ревда</t>
  </si>
  <si>
    <t>Ремонт  2016 году тренажерного зала МБУ "Культурно спортивный центр" в гп Ревда</t>
  </si>
  <si>
    <t>КФКиС МО, администрация муниципального образования</t>
  </si>
  <si>
    <t>Предоставление субсидии  из областного бюджета на капитальный ремонт объекта "Спортивный зал", г. Полярные Зори</t>
  </si>
  <si>
    <t>Ремонт в 2016 году объекта "Спортивный зал ДЮСШ", г. Полярные Зори</t>
  </si>
  <si>
    <t>Предоставление субсидии  из областного бюджета на капитальный ремонт спортивного комплекса МАУДО ДЮСШ «Универсал», г.  Апатиты.</t>
  </si>
  <si>
    <t>Капитальный ремонт в 2016 году спортивного комплекса МАУДО ДЮСШ «Универсал», г.  Апатиты.</t>
  </si>
  <si>
    <t>Капитальный ремонт плавательного бассейна в г. Полярные Зори</t>
  </si>
  <si>
    <t>Капитальный ремонт в 2016 году плавательного бассейна, г. Полярные Зори.</t>
  </si>
  <si>
    <t>Ремонт (замена) искусственного покрытия футбольного поля</t>
  </si>
  <si>
    <t>Ремонт в 2016 году футбольного поля в муниципальном образовании г. Мурманск, в 2017 году футбольного поля в муниципальном образовании п. Никель.</t>
  </si>
  <si>
    <t>Компенсация расходов по поддержанию объектов спорткомплекса "Долина Уюта" в работоспособном состоянии до передачи его в оперативное управление ГАУМО "ЦСП"</t>
  </si>
  <si>
    <t>Компенсация расходов по поддержанию объектов спорткомплекса "Долина Уюта" в работоспособном состоянии в связи с изъятием из хозяйственного ведения ГОУП "УСЦ" и передачи в оперативное управление ГАУМО "ЦСП"</t>
  </si>
  <si>
    <t>Сертификация, гомологация, оформление технического паспорта спорткомплекса "Долина Уюта"</t>
  </si>
  <si>
    <t>Сертификация, гомологация, оформление технического паспорта спорткомплекса "Долина Уюта" в связи с изъятием из хозяйственного ведения ГОУП "УСЦ" и передачи в оперативное управление ГАУМО "ЦСП"</t>
  </si>
  <si>
    <t>Капитальный ремонт легкоатлетических дорожек спортивного комплекса "Локомотив", Кандалакша</t>
  </si>
  <si>
    <t>Капитальный ремонт в 2017 году легкоатлетических дорожек спортивного комплекса "Локомотив", Кандалакша</t>
  </si>
  <si>
    <t>Минстрой МО, МО г. Кандалакша</t>
  </si>
  <si>
    <t>4.</t>
  </si>
  <si>
    <t>Подпрограмма 4 "Обеспечение реализации государственной программы"</t>
  </si>
  <si>
    <t>4.1.</t>
  </si>
  <si>
    <t>Основное мероприятие 1 Обеспечение реализации государственных функций и оказание государственных услуг в сфере физической культуры и спорта</t>
  </si>
  <si>
    <t xml:space="preserve">Повышение эффективности управления финансовыми средствами областного бюджета  </t>
  </si>
  <si>
    <t>4.1.1.</t>
  </si>
  <si>
    <t>Обеспечение реализации государственных функций и оказание государственных услуг Комитетом по физической культуре и спорту  Мурманской области</t>
  </si>
  <si>
    <t xml:space="preserve">Ежегодно реализация 51 государственной функции и оказание государственных услуг </t>
  </si>
  <si>
    <t>Государственная программа, подпрограмма, основное мероприятие</t>
  </si>
  <si>
    <t xml:space="preserve"> Результаты выполнения мероприятий </t>
  </si>
  <si>
    <t>Источник</t>
  </si>
  <si>
    <t>Запланировано на отчетный год</t>
  </si>
  <si>
    <t>Фактическое исполнение</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</si>
  <si>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</si>
  <si>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</si>
  <si>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</si>
  <si>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 xml:space="preserve">Строительство объекта "Административно-спортивный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</si>
  <si>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Код ГРБС</t>
  </si>
  <si>
    <t>Кассовое исполнение</t>
  </si>
  <si>
    <t>Степень освоения средств</t>
  </si>
  <si>
    <t>Комитет по физической культуре и спорту Мурманской области</t>
  </si>
  <si>
    <t>823/807</t>
  </si>
  <si>
    <t>Основное мероприятие 1 "Строительство и реконструкция спортивных объектов Мурманской области"</t>
  </si>
  <si>
    <t>2016-2020</t>
  </si>
  <si>
    <t>Присвоение спортивных разрядов: "Первый юношеский спортивный разряд", "Второй юношеский спортивный разряд", "Третий юношеский спортивный разряд"</t>
  </si>
  <si>
    <t>Обеспечение процедуры присвоения спортивных разрядов</t>
  </si>
  <si>
    <t xml:space="preserve">ГАУМО «КСШОР», ГАУМО «МОСШОР по зимним видам спорта», ГАУМО «Кировская СШОР» </t>
  </si>
  <si>
    <t>Реализация программ спортивной подготовки в 2017 году и плановом периоде 2018-2019 г.г.: ГАУМО «КСШОР» - 335 человек, ГАУМО «МОСШОР по зимним видам спорта» - 579 человек, ГАУМО «МОСШОР» - 233 человека, ГАУМО «Мончегорская СШОР» - 256 человек, ГАУМО «Кировская СШОР» - 270 человек. Проведение не менее 35 тренировочных мероприятий, физкультурных и спортивных мероприятий.</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</si>
  <si>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t>
  </si>
  <si>
    <t>Приобретение снегоуплотнительной техники</t>
  </si>
  <si>
    <t xml:space="preserve">Приобретение в 2017 году 1 единицы снегоуплотнительной техники </t>
  </si>
  <si>
    <t>2014-2017</t>
  </si>
  <si>
    <t xml:space="preserve">Строительство в 2015 - 2017 годах объекта «Лыжероллерная трасса. Водоотводные сооружения лыжного стадиона спорткомплекса "Долина Уюта" в г. Мурманске». Ввод объекта в эксплуатацию в 2017 году.
</t>
  </si>
  <si>
    <t>2016-2019</t>
  </si>
  <si>
    <t xml:space="preserve">Разработка проектной документации, получение положительного заключения государственой экспертизы в 2017 году. </t>
  </si>
  <si>
    <t>Завершение капитального ремонта  2016 году</t>
  </si>
  <si>
    <t>Предоставление субсидии из областного бюджета на капитальный ремонт муниципального учреждения спорта "Учебно-спортивный центр" (Дом физкультуры), г. Оленегорск</t>
  </si>
  <si>
    <t>Капитальный ремонт в 2017 году кровли и  системы вентиляции муниципального учреждения спорта "Учебно-спортивный центр" (Дом физкультуры), г. Оленегорск</t>
  </si>
  <si>
    <t>Капитальный ремонт Дворца спорта МАУ ФСК «Атлет», г.  Апатиты</t>
  </si>
  <si>
    <t>Капитальный ремонт в 2017 году фасада и фойе 1 этажа Дворца спорта МАУ ФСК «Атлет», г.  Апатиты</t>
  </si>
  <si>
    <t>Минстрой МО, администрация муниципального образования</t>
  </si>
  <si>
    <t>В 2016 разработка ПСД. Привязка типового проекта. 2017 год - приобретение типового проекта Министерства спорта РФ. 2018 год - строительство 1-го этапа. 2019 год - строительство 2-го этапа и ввод объекта в эксплуатацию.</t>
  </si>
  <si>
    <t xml:space="preserve">В 2016 разработка ПСД. Привязка типового проекта.В 2017 году заключение контракта на строительство. 2018-2020 строительство объекта.
В 2017 году техническая готовность объекта 23%. Техническая готовность объекта в 2018 году 47%.
Ввод объекта в эксплуатацию в 2020 году. </t>
  </si>
  <si>
    <t xml:space="preserve">2016 год разработка проекта. В 2017 году заключение контракта, подготовительные работы, работы нулевого цикла.
Техническая готовность объекта в 2018 году 70%
Ввод объекта в эксплуатацию в 2019 году. </t>
  </si>
  <si>
    <t>1.1.</t>
  </si>
  <si>
    <t>1.2.</t>
  </si>
  <si>
    <t>2.1.</t>
  </si>
  <si>
    <t>2.2.</t>
  </si>
  <si>
    <t>2.3.</t>
  </si>
  <si>
    <t>3.1.</t>
  </si>
  <si>
    <t>3.2.</t>
  </si>
  <si>
    <t xml:space="preserve">В 2016-2017 годах  проведение не менее 10 областных и межмуниципальных официальных  физкультурных мероприятий, тренировочных сборов спортивных сборных команд. В 2018-2020 годах проведение не менее 22 областных и межмуниципальных официальных  физкультурных мероприятий, тренировочных сборов спортивных сборных команд. Проведение Универсиады России в 2018 году. </t>
  </si>
  <si>
    <t>1.1.2.</t>
  </si>
  <si>
    <t>Обучение навыкам плавания  детей и подростков в возрасте  от 6 до 18 лет</t>
  </si>
  <si>
    <t>1.1.3.</t>
  </si>
  <si>
    <t>1.1.4.</t>
  </si>
  <si>
    <t>1.1.5.</t>
  </si>
  <si>
    <t xml:space="preserve">Закупка комплекта искусственного покрытия
футбольного поля 
</t>
  </si>
  <si>
    <t>2018-2020</t>
  </si>
  <si>
    <t>Ежегодная закупка комплекта искусственного покрытия футбольного поля в рамках ФЦП "Развитие физической культуры и спорта в Росийской Федерации". В 2018 году укладка искусственного покрытия футбольного поля за счет средств муниципального образования г. Апатиты.</t>
  </si>
  <si>
    <t>1.1.6.</t>
  </si>
  <si>
    <t xml:space="preserve">Закупка оборудования для обеспечения антитеррористической защищенности объектов спорта 
</t>
  </si>
  <si>
    <t>Закупка оборудования для обеспечения антитеррористической защищенности объектов спорта учреждений, подведомственных КФКиС МО</t>
  </si>
  <si>
    <t>1.2.2.</t>
  </si>
  <si>
    <t xml:space="preserve">Проведение мероприятий, участие сборных команд Мурманской области во Всероссийских этапах комплекса ГТО, проведение  семинаров, конференций по внедрению комплекса ГТО, участие в семинарах, курсах, конференциях за пределами Мурманской области, материально-техническое обеспечение центров тестирования (приобретение спортивного оборудования и инвентаря), организация и проведение пропагандистских мероприятий, програмное обеспечение центров тестирования.  </t>
  </si>
  <si>
    <t>1.2.3.</t>
  </si>
  <si>
    <t>2017-2020</t>
  </si>
  <si>
    <t xml:space="preserve">Ежегодное изготовление и трансляция 1 физкультурно-оздоровительной программы. Проведение мероприятий, участие сборных команд Мурманской области во Всероссийских этапах комплекса ГТО, проведение  семинаров, конференций по внедрению комплекса ГТО, участие в семинарах, курсах, конференциях за пределами Мурманской области, материально-техническое обеспечение центров тестирования  (приобретение спортивного оборудования и инвентаря), организация и проведение пропагандистских мероприятий, програмное обеспечение центров тестирования.  </t>
  </si>
  <si>
    <t>2.1.2.</t>
  </si>
  <si>
    <t>2.1.3.</t>
  </si>
  <si>
    <t>2.1.4.</t>
  </si>
  <si>
    <t>2.1.5.</t>
  </si>
  <si>
    <t>Проведение в 2016 году тренировочных сборов сборных команд Мурманской области по видам спорта на спортсооружениях  ГОУП «УСЦ» в количестве не менее 15 час.</t>
  </si>
  <si>
    <t>2.1.6.</t>
  </si>
  <si>
    <t>Возмещение АНО »Клуб по хоккею с мячом «Мурман» расходов на оплату труда, на оплату проезда, проживания, питания, аренды автотранспорта и спортивных сооружений, оплату членских и заявочных (стартовых) взносов, оплату работы судей, расходов на обеспечение фоармакологическими и восстановительными средствами, приобретение спортивной экипировки</t>
  </si>
  <si>
    <t>2.1.7.</t>
  </si>
  <si>
    <t>2.1.8.</t>
  </si>
  <si>
    <t>2.1.9.</t>
  </si>
  <si>
    <t>Проведение мероприятий международной велосипедной гонки Арктик Райс</t>
  </si>
  <si>
    <t xml:space="preserve">Проведение в 2018 году международной велосипедной гонки </t>
  </si>
  <si>
    <t>2.2.3.</t>
  </si>
  <si>
    <t>2.2.4.</t>
  </si>
  <si>
    <t>2.3.1.</t>
  </si>
  <si>
    <t>2.3.2.</t>
  </si>
  <si>
    <t>2.3.3.</t>
  </si>
  <si>
    <t>2.3.4.</t>
  </si>
  <si>
    <t>3.1.2.</t>
  </si>
  <si>
    <t xml:space="preserve">Устройство спортивных площадок </t>
  </si>
  <si>
    <t>3.1.3.</t>
  </si>
  <si>
    <t>3.1.4.</t>
  </si>
  <si>
    <t>Строительство объекта "Физкультурно-оздоровительный комплекс в городе Полярные Зори Мурманская область"</t>
  </si>
  <si>
    <t>3.1.5.</t>
  </si>
  <si>
    <t>3.1.6.</t>
  </si>
  <si>
    <t>3.1.7.</t>
  </si>
  <si>
    <t>2014, 2018-2020</t>
  </si>
  <si>
    <t>Начало строительства объекта в 2018 году.
Техническая готовность объекта в 2018 году 9%,
техническая готовность объекта в 2019 году 45%,                                                                                                                                                                                ввод объекта в 2020 году.</t>
  </si>
  <si>
    <t>2019*</t>
  </si>
  <si>
    <t>2020*</t>
  </si>
  <si>
    <t>3.1.8.</t>
  </si>
  <si>
    <t>3.1.9.</t>
  </si>
  <si>
    <t>3.1.10.</t>
  </si>
  <si>
    <t>3.1.11.</t>
  </si>
  <si>
    <t>Строительство объекта "Пожарный водоем (резервуар) на горнолыжном комплексе ГАУМО "Мончегорская СШОР по горнолыжному спорту"</t>
  </si>
  <si>
    <t>Разработка ПСД, получение заключения Госэкспертизы, обустройство Пожарного водоема (резервуара) на горнолыжном комплексе ГАУМО "Мончегорская СШОР по горнолыжному спорту" в 2018 году</t>
  </si>
  <si>
    <t>ГАУМО "Мончегорская СШОР по горнолыжному спорту"</t>
  </si>
  <si>
    <t>3.1.12.</t>
  </si>
  <si>
    <t>Строительство объекта "Спортивная площадка на территории МОУ СОШ N 289 в ЗАТО город Заозерск"</t>
  </si>
  <si>
    <t>Разработка ПСД, получение заключения Госэкспертизы, обустройство Спортивной площадки на территории МОУ СОШ N 289 в ЗАТО город Заозерск в 2020 году</t>
  </si>
  <si>
    <t>3.2.2.</t>
  </si>
  <si>
    <t>3.2.3.</t>
  </si>
  <si>
    <t>3.2.4.</t>
  </si>
  <si>
    <t>3.2.5.</t>
  </si>
  <si>
    <t>3.2.6.</t>
  </si>
  <si>
    <t>3.2.7.</t>
  </si>
  <si>
    <t>3.2.8.</t>
  </si>
  <si>
    <t>3.2.9.</t>
  </si>
  <si>
    <t>3.2.10.</t>
  </si>
  <si>
    <t>3.2.11.</t>
  </si>
  <si>
    <t>Предоставление субсидии из областного бюджета на текущий ремонт спортивного зала МБУ "Ловозерский центр развития досуга и культуры"</t>
  </si>
  <si>
    <t>Текущий ремонт в 2017 году спортивного зала МБУ "Ловозерский центр развития досуга и культуры"</t>
  </si>
  <si>
    <t>3.2.12.</t>
  </si>
  <si>
    <t>3.2.13.</t>
  </si>
  <si>
    <t>3.2.14.</t>
  </si>
  <si>
    <t>Капитальный ремонт Спорткомплекса МБОУ ДО "ДЮСШ" администрации Ловозерского района, г.п. Ревда</t>
  </si>
  <si>
    <t>Капитальный ремонт Спорткомплекса МБОУ ДО "ДЮСШ" администрации Ловозерского района, г.п. Ревда в 2018 году (ремонт спортивного зала, кровли, коммуникаций, внутренних помещений, устройство пандуса</t>
  </si>
  <si>
    <t>3.2.15.</t>
  </si>
  <si>
    <t>Капитальный ремонт здания спортивного комплекса "Дельфин" в г. Заполярный</t>
  </si>
  <si>
    <t>2018-2019</t>
  </si>
  <si>
    <t>2018 год - реионт кровли, 2019 год - ремонт чаши бассейна, фасада, коммуникаций, внутренних помещений.</t>
  </si>
  <si>
    <t>3.2.16.</t>
  </si>
  <si>
    <t>Капитальный ремонт освещения лыжной трассы, г. Кола</t>
  </si>
  <si>
    <t>Капитальный ремонт освещения лыжной трассы, г. Кола (Замена столбов освещения и светильников)</t>
  </si>
  <si>
    <t>3.2.17.</t>
  </si>
  <si>
    <t>Ремонт спортивной площадки по ул. Молодежная в п. Молочный</t>
  </si>
  <si>
    <t>Ремонт спортивной площадки по ул. Молодежная в п. Молочный (В составе спортивного ядра предусмотрена установка: двух круговых беговых дорожек,  двух прямых беговых дорожек, сектора для прыжков, площадки для мини-футбола, площадки  для баскетбола, площадки для волейбола; площадки для спортивных уличных тренажеров, гимнастического комплекса Workout)</t>
  </si>
  <si>
    <t>3.2.18.</t>
  </si>
  <si>
    <t>Ремонт (замена) витражного остекления здания Ледового дворца спорта со стороны Ленинградского проспекта, частичный ремонт фасада, г. Оленегорск</t>
  </si>
  <si>
    <t>Ремонт в 2019 году витражного остекления здания Ледового дворца спорта со стороны Ленинградского проспекта, частичный ремонт фасада в г. Оленегорске</t>
  </si>
  <si>
    <t>* Прогнозные средства федерального бюджета</t>
  </si>
  <si>
    <t>Количество мероприятий, всего, в т.ч.:</t>
  </si>
  <si>
    <t>Выполнено в полном объеме</t>
  </si>
  <si>
    <t>Выполнено частично</t>
  </si>
  <si>
    <t>Не выполнено</t>
  </si>
  <si>
    <t>Степень выполнения мероприятий</t>
  </si>
  <si>
    <t>Причины низкой степени освоения средств, достижения показателей результативности (менее 20%)</t>
  </si>
  <si>
    <t>2.1.10.</t>
  </si>
  <si>
    <t>Обучение навыкам плавания  детей и подростков в возрасте  от 6 до 10 лет</t>
  </si>
  <si>
    <t xml:space="preserve">Ежегодная организация оздоровительного процесса в плавательном бассейне ГОУП "УСЦ"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</si>
  <si>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ГАУМО «МОСШОР по зимним видам спорта», ГАУМО "Кировская СШОР", ГАУМО "Мончегорская СШОР", ГАУМО "МОСШОР", ГАУМО "КСШОР", КФКиС МО</t>
  </si>
  <si>
    <t xml:space="preserve">Ежегодное изготовление и трансляция 1 физкультурно-оздоровительной программы. Проведение мероприятий, участие сборных команд Мурманской области во Всероссийских этапах комплекса ГТО, проведение  семинаров, конференций по внедрению комплекса ГТО, участие в семинарах, курсах, конференциях за пределами Мурманской области, материально-техническое обеспечение центров тестирования  (приобретение спортивного оборудования и инвентаря), организация и проведение пропагандистских мероприятий, в том числе по защите прав потребителей, програмное обеспечение центров тестирования.  </t>
  </si>
  <si>
    <t>Проведение ежегодно более 176 всероссийских, областных и межмуниципальных официальных спортивных мероприятий, тренировочных сборов спортивных сборных команд Мурманской области и сборных команд России на территории Мурманской области, обеспечение участия спортивных сборных команд Мурманской области в более 300 международных, всероссийских и межрегиональных официальных спортивных мероприятиях и организация мероприятий по подготовке спортивных сборных команд Мурманской обласити в соответствии с  календарным планом официальных физкультурных мероприятий и спортивных мероприятий Мурманской области на соответствующий год.</t>
  </si>
  <si>
    <t>ГАУМО "ЦСП", ГБУДО "МОДЮСШ"</t>
  </si>
  <si>
    <t>Возмещение НКО расходов на оплату труда, на оплату проезда, проживания, питания, аренды автотранспорта и спортивных сооружений, оплату членских и заявочных (стартовых) взносов, оплату работы судей, расходов на обеспечение фоармакологическими и восстановительными средствами, приобретение спортивной экипировки</t>
  </si>
  <si>
    <t>Обеспечение процедуры присвоения  не менее  500 спортивных разрядов ежегодно</t>
  </si>
  <si>
    <t>ГАУМО «КСШОР», ГАУМО «МОСШОР по зимним видам спорта», ГАУМО «Кировская СШОР», ГАУМО "МОСШОР", ГАУМО "ЦСП"</t>
  </si>
  <si>
    <t>Проведение тренировочных мероприятий по специальной физической подготовке и ОФП кандидатов спортивных сборных команд Мурманской области по видам спорта</t>
  </si>
  <si>
    <t>Проведение тренировочных мероприятий по специальной физической подготовке и ОФП кандидатов спортивных сборных команд Мурманской области не менее чем по 10 видам спорта</t>
  </si>
  <si>
    <t xml:space="preserve">Реализация программ по спортивной подготовке в соответствии с федеральными стандартами спортивной подготовки по базовым  олимпийским, паралимпийским и сурдлимпийским видам спорта; повышение квалификации и переподготовка специалистов в сфере  физической культуры и спорта; приобретение автомобилей (не являющихся легковыми), массой более 3500 кг и с числом посадочных мест (без учета водительского места) более 8; осуществление, в соответствии с порядком, утверждаемым Министерством спорта Российской Федерации, поддержки одаренных спортсменов, занимающихся в организациях, осуществляющих спортивную подготовку и образовательных организациях, реализующих федеральные стандарты спортивной подготовки </t>
  </si>
  <si>
    <t>Строительство объекта "Физкультурно-оздоровительный комплекс в городе Полярные Зори Мурманской области"</t>
  </si>
  <si>
    <t xml:space="preserve">В 2016 разработка ПСД. Привязка типового проекта.В 2017 году заключение контракта на строительство. 2018-2020 строительство объекта. В 2017 году техническая готовность объекта 23%. Техническая готовность объекта в 2018 году 47%.
Ввод объекта в эксплуатацию в 2019 году. </t>
  </si>
  <si>
    <t>Строительство объекта "Плавательный бассейн в г. Кандалакше"</t>
  </si>
  <si>
    <t xml:space="preserve">2016 год разработка проекта. В 2017 году заключение контракта, подготовительные работы, работы нулевого цикла.
Техническая готовность объекта в 2018 году 70%. Ввод объекта в эксплуатацию в 2019 году. </t>
  </si>
  <si>
    <t>2017-2018</t>
  </si>
  <si>
    <t xml:space="preserve">Разработка проектной документации, получение положительного заключения государственой экспертизы в 2018 году. </t>
  </si>
  <si>
    <t>Минстрой МО, ГОКУ «УКС МО», ГАУМО "Мончегорская СШОР по горнолыжному спорту"</t>
  </si>
  <si>
    <t>Ремонт Спорткомплекса МБОУ ДО "ДЮСШ" администрации Ловозерского района, г.п. Ревда</t>
  </si>
  <si>
    <t>Ремонт Спорткомплекса МБОУ ДО "ДЮСШ" администрации Ловозерского района, г.п. Ревда в 2018 году (облицовка сайдингом, устройство вентилируемого фасада здания)</t>
  </si>
  <si>
    <t>3.3.</t>
  </si>
  <si>
    <t>Основное мероприятие 3 "Строительство, реконструкция и модернизация спортивных объектов Мурманской области в рамках государственно-частного партнерства"</t>
  </si>
  <si>
    <t>Минстрой МО, ГОКУ «УКС МО», Муниципальные образования МО</t>
  </si>
  <si>
    <t>3.3.1.</t>
  </si>
  <si>
    <t>Строительство объекта "Крытый каток с искусственным льдом в г.Мурманске"</t>
  </si>
  <si>
    <t>Строительство объекта в г. Мурманске. 2018 год - разработка ПСД, 2019-2020 годы - строительство.</t>
  </si>
  <si>
    <t>2019**</t>
  </si>
  <si>
    <t>2020**</t>
  </si>
  <si>
    <t>** Прогнозные средства областного бюджета</t>
  </si>
  <si>
    <t xml:space="preserve">ОБ </t>
  </si>
  <si>
    <t>Пожарный водоем (резервуар) на горнолыжном комплексе ГАУМО "Мончегорская СШОР по горнолыжному спорту"</t>
  </si>
  <si>
    <t>объем 100 куб. м</t>
  </si>
  <si>
    <t>Спортивно-оздоровительный центр с искусственным ледовым покрытием в г. Кировске</t>
  </si>
  <si>
    <t>Соисполнители, участники</t>
  </si>
  <si>
    <t>2018 год - ремонт кровли, 2019 год - ремонт чаши бассейна, фасада, коммуникаций, внутренних помещений.</t>
  </si>
  <si>
    <t>Приложение 4 к Методическим указаниям</t>
  </si>
  <si>
    <t>Перечень основных мероприятий и сведения об объемах финансирования государствннной программы</t>
  </si>
  <si>
    <t>Подпрограмма, задача, основное мероприятие, ведомственная целевая программа</t>
  </si>
  <si>
    <t xml:space="preserve"> Связь основных мероприятий с показателями подпрограмм</t>
  </si>
  <si>
    <t>Годы реализации</t>
  </si>
  <si>
    <t xml:space="preserve">Государственная программа Мурманской области "Развитие физической культуры и спорта" </t>
  </si>
  <si>
    <t>КФКиС МО, Минстрой МО, администрации муниципальных образований МО, подведомственные КФКиС МО учреждения</t>
  </si>
  <si>
    <t>КФКиС МО, администрации муниципальных образований МО, подведомственные КФКиС МО учреждения</t>
  </si>
  <si>
    <t>Министерство строительства и территориального развития Мурманской области</t>
  </si>
  <si>
    <t>Минстрой МО, администрации муниципальных образований МО, подведомственные КФКиС МО учреждения</t>
  </si>
  <si>
    <t>КФКиС МО, подведомственные КФКиС МО учреждения</t>
  </si>
  <si>
    <t>доля обучающихся и студентов, систематически занимающихся физической культурой и спортом, в общей численности обучающихся и студентов. Количество квалифицированных тренеров и тренеров-преподавателей физкультурно-спортивных организаций, работающих по специальности</t>
  </si>
  <si>
    <t xml:space="preserve">доля граждан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 Доля граждан Мурманской области, занимающихся физической культурой и спортом по месту работы, в общей численности населения, занятого в экономике
</t>
  </si>
  <si>
    <t xml:space="preserve">доля спортсменов-разрядников в общем количестве лиц, занимающихся в системе специализированных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t>
  </si>
  <si>
    <t>Основное мероприятие 2 "Реализация дополнительных общеобразовательных программ и программ спортивной подготовки в сфере физической культуры и спорта подведомственными учреждениями"</t>
  </si>
  <si>
    <t xml:space="preserve">доля спортсменов-разрядников, имеющих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
</t>
  </si>
  <si>
    <t>доля спортсменов-разрядников, имеющих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t>
  </si>
  <si>
    <t xml:space="preserve">единовременная пропускная способность объектов спорта. Единовременная пропускная способность объектов спорта, введенных в эксплуатацию в рамках Программы
</t>
  </si>
  <si>
    <t xml:space="preserve">эффективность использования существующих объектов спорта. Количество спортивных сооружений, в которых осуществлен капитальный и текущий ремонт
</t>
  </si>
  <si>
    <t>да</t>
  </si>
  <si>
    <t>206-2017
(приобретение авторских прав, разработка ПСД, экспертиза)
2018-2019
(строительство)</t>
  </si>
  <si>
    <t>Минстрой МО, ГОКУ "УКС МО", ГАУМО «Мончегорская СШОР по горнолыжному спорту»</t>
  </si>
  <si>
    <t>Приложение 5 к Методическим указаниям</t>
  </si>
  <si>
    <t>Перечень объектов капитального строительства</t>
  </si>
  <si>
    <t>№</t>
  </si>
  <si>
    <t>Подпрограмма, объект капитального строительства</t>
  </si>
  <si>
    <t>Соисполнитель, заказчик-застройщик</t>
  </si>
  <si>
    <t xml:space="preserve">Проектная мощность </t>
  </si>
  <si>
    <t xml:space="preserve"> Срок строительства </t>
  </si>
  <si>
    <t>Общая стоимость строительства, тыс. рублей</t>
  </si>
  <si>
    <t xml:space="preserve"> Объемы и источники финансирования, тыс. рублей</t>
  </si>
  <si>
    <t xml:space="preserve"> Источник </t>
  </si>
  <si>
    <t xml:space="preserve">ФБ </t>
  </si>
  <si>
    <t>Всего с 2014</t>
  </si>
  <si>
    <t>КФКиС МО, Минстрой МО, ГОКУ «УКС МО», ГОУП УСЦ, администрации муниципальных образований МО</t>
  </si>
  <si>
    <t>Горнолыжный  подъемник специализированной детско-юношеской спортивной школы олимпийского резерва по горнолыжному спорту в г.  Кировске</t>
  </si>
  <si>
    <t xml:space="preserve"> длина дороги по склону – 765 м,
пропускная способность – 1600 чел./час
</t>
  </si>
  <si>
    <t>2014
(разработка ПСД, экспертиза)
(решение о строительстве не принято)</t>
  </si>
  <si>
    <t xml:space="preserve">288 471,5
(предельная стоимость в соответствии с экспертизой с учетом индексов-дефляторов)
</t>
  </si>
  <si>
    <t xml:space="preserve">Крытый каток с искусственным льдом в г. Апатиты </t>
  </si>
  <si>
    <t xml:space="preserve"> общая площадь 4466,5 кв. м пропускная способность – 170 чел./см</t>
  </si>
  <si>
    <t xml:space="preserve">2012-2014
(строительство)
</t>
  </si>
  <si>
    <t xml:space="preserve">228 742,8
(в соответствии с заключенными контрактами)
</t>
  </si>
  <si>
    <t>До 2014</t>
  </si>
  <si>
    <t xml:space="preserve">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</si>
  <si>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общая площадь 3588,90 кв. м  пропускная способность -   70 чел./см</t>
  </si>
  <si>
    <t xml:space="preserve">2014
(разработка ПСД, экспертиза)
2018-2020 (строительство)
</t>
  </si>
  <si>
    <t xml:space="preserve">452 299,1
(предельная стоимость в соответствии с экспертизой с учетом индексов-дефляторов)
</t>
  </si>
  <si>
    <t xml:space="preserve">Реконструкция систем вентиляции плавательного бассейна по ул. Челюскинцев, д. 2, г. Мурманск
</t>
  </si>
  <si>
    <t>общий объем 38745 куб. м</t>
  </si>
  <si>
    <t>2012 (разработка ПСД, экспертиза) 2013-2014 (строительство)</t>
  </si>
  <si>
    <t>10495,7                           (в соответствии с заключенными контрактами)</t>
  </si>
  <si>
    <t>5.</t>
  </si>
  <si>
    <t>Плавательный бассейн в                    г. Кандалакше</t>
  </si>
  <si>
    <t>пропускная способность - 54 чел. в смену</t>
  </si>
  <si>
    <t>2011 (разработка ПСД, экспертиза) 2011-2016 (строительство)</t>
  </si>
  <si>
    <t>150 323,4
(в соответствии с заключенными контрактами)</t>
  </si>
  <si>
    <t>6.</t>
  </si>
  <si>
    <t xml:space="preserve">Строительство и реконструкция спортивных сооружений спорткомплекса «Долина Уюта» в г. Мурманске
</t>
  </si>
  <si>
    <t>протяженность осв. лыжной трассы - 2,5 км;
количество стрелковых коридоров - 30 шт.;
вместимость трибуны - 800
чел.,
стр.объем АСК - 19689,78 куб. м</t>
  </si>
  <si>
    <t xml:space="preserve">2008-2011
(разработка ПСД, экспертиза)
2012-2015 (строительство)
</t>
  </si>
  <si>
    <t>609966,7                          (в соответствии с заключенными контрактами)</t>
  </si>
  <si>
    <t>7.</t>
  </si>
  <si>
    <t xml:space="preserve">Легкоатлетический  манеж в                 г. Мурманске
</t>
  </si>
  <si>
    <t xml:space="preserve">общая площадь объекта - 7381 кв.м         занимающиеся - не более 48 чел.,
зрители - 296 чел.
</t>
  </si>
  <si>
    <t xml:space="preserve">2012-2013 (разработка ПСД, экспертиза)
2013-2015 (строительство)
</t>
  </si>
  <si>
    <t>485108,7                       (в соответствии с заключенными контрактами)</t>
  </si>
  <si>
    <t>8.</t>
  </si>
  <si>
    <t xml:space="preserve">Лыжероллерная трасса. Водоотводные сооружения лыжного стадиона спорткомплекса "Долина Уюта" в г. Мурманске
</t>
  </si>
  <si>
    <t>общая площадь объекта - 42965 кв.м</t>
  </si>
  <si>
    <t xml:space="preserve">2014
(разработка ПСД, экспертиза)
2014-2017
(строительство)
</t>
  </si>
  <si>
    <t xml:space="preserve">86 057,7
(в соответствии с заключенными контрактами)
</t>
  </si>
  <si>
    <t>9.</t>
  </si>
  <si>
    <t xml:space="preserve">Физкультурно-оздоровительный комплекс в г. Полярные Зори Мурманской области
</t>
  </si>
  <si>
    <t>Минстрой МО,
МО г.Полярные Зори с подведомственной территорией</t>
  </si>
  <si>
    <t>общая площадь объекта - 2985 кв.м</t>
  </si>
  <si>
    <t xml:space="preserve">2016
(разработка ПСД, экспертиза)
2017-2019
строительство)
</t>
  </si>
  <si>
    <t>192 414,0
(предельная стоимость в соответствии с экспертизой с учетом индексов-дефляторов)</t>
  </si>
  <si>
    <t>10.</t>
  </si>
  <si>
    <t xml:space="preserve">Гостевая автостоянка к спорткомплексу «Долина Уюта» в Первомайском административном округе                  г. Мурманска
</t>
  </si>
  <si>
    <t>общая площадь объекта - 6273,0 кв.м</t>
  </si>
  <si>
    <t xml:space="preserve">2014 (разработка ПСД, экспертиза)
2015 (строительство)
</t>
  </si>
  <si>
    <t xml:space="preserve">17 563,8
(в соответствии с заключенными контрактами)
</t>
  </si>
  <si>
    <t>11.</t>
  </si>
  <si>
    <t>Физкультурно-оздоровительный комплекс открытого типа в жилом районе Росляково                      г. Мурманска</t>
  </si>
  <si>
    <t>Минстрой МО, администрация МО г. Мурманск,  МАУ ГСЦ «Авангард»</t>
  </si>
  <si>
    <t xml:space="preserve"> Площадь спортивных площадок 5 415,09  кв.м,    пропускная способность - 101 чел. в смену</t>
  </si>
  <si>
    <t>2016
(разработка ПСД, экспертиза)
2017
(строительство)</t>
  </si>
  <si>
    <t>43 076,4
(в соответствии с заключенными контрактами)</t>
  </si>
  <si>
    <t>12.</t>
  </si>
  <si>
    <t>Межшкольный стадион в                                      г. Мурманске</t>
  </si>
  <si>
    <t xml:space="preserve"> общая площадь 3000,0 кв.м</t>
  </si>
  <si>
    <t>48012,1
(в соотв. с экспертизой с учетом индекса пересчета сметной стоимости)</t>
  </si>
  <si>
    <t>13.</t>
  </si>
  <si>
    <t>2018 (разработка ПСД, экспертиза, строительство)</t>
  </si>
  <si>
    <t xml:space="preserve">2527,4
(на основании проекта-аналога с учетом индексов-дефляторов)
</t>
  </si>
  <si>
    <t>14.</t>
  </si>
  <si>
    <t xml:space="preserve">Спортивная площадка на территории МОУ СОШ № 289 в ЗАТО г. Заозерск
</t>
  </si>
  <si>
    <t>Минстрой МО, администрация ЗАТО г. Заозерск</t>
  </si>
  <si>
    <t>Общая площадь объекта 4066 кв. м</t>
  </si>
  <si>
    <t xml:space="preserve">2020
(разработка ПСД, экспертиза, строительство)
</t>
  </si>
  <si>
    <t xml:space="preserve">18945,4
(в соответствии с экспертизой с учетом индексов-дефляторов)
</t>
  </si>
  <si>
    <t>15.</t>
  </si>
  <si>
    <t>Минстрой МО, администрация муниципального образования г. Кировск</t>
  </si>
  <si>
    <t>общая площадь объекта
6 176 кв. м,
единовременная вместимость, включая зрителей,
300 чел.,
пропускная способность
50 чел. в смену</t>
  </si>
  <si>
    <t xml:space="preserve">2016
(разработка ПСД, экспертиза)
2017-2019
(строительство)
</t>
  </si>
  <si>
    <t>532 800,0
в том числе проектные 10 800,0
(на основании проекта-аналога с учетом индексов пересчета сметной стоимости)</t>
  </si>
  <si>
    <t>16.</t>
  </si>
  <si>
    <t>Реконструкцию здания плавательного бассейна по 
ул. Челюскинцев, д.2 в г. Мурманске</t>
  </si>
  <si>
    <t xml:space="preserve">после реконструкции общая площадь 
5 899,4  кв. м,
пропускная способность 542 тыс. чел. год
</t>
  </si>
  <si>
    <t xml:space="preserve">2018 – разработка ПСД, экспертиза
Решение о строительстве не принято
</t>
  </si>
  <si>
    <t xml:space="preserve">355 398,4
(на основании укрупненного норматива)
</t>
  </si>
  <si>
    <t>17.</t>
  </si>
  <si>
    <t>Комплексное развитие СК "Долина Уюта" в г. Мурманске</t>
  </si>
  <si>
    <t>Минстрой МО, ГАУМО ЦСП</t>
  </si>
  <si>
    <t xml:space="preserve">площадь застройки – 91 000 кв.м;
единая пропускная способность – 350 человек в смену
</t>
  </si>
  <si>
    <t xml:space="preserve">2017 – 2018 разработка ПСД.
Решение о строительстве не принято
</t>
  </si>
  <si>
    <t xml:space="preserve">554 952,0
(на основании коммерческих предложений и проектов-аналогов)
</t>
  </si>
  <si>
    <t>18.</t>
  </si>
  <si>
    <t>Крытый каток с искусственным льдом в г.Мурманске</t>
  </si>
  <si>
    <t>Администрация муниципального образования г. Мурманск</t>
  </si>
  <si>
    <t xml:space="preserve"> общая площадь                                4466,5 кв. м; пропускная способность – 170 чел. в смену</t>
  </si>
  <si>
    <t xml:space="preserve">2018 разработка ПСД.
Решение о строительстве не принято
</t>
  </si>
  <si>
    <t xml:space="preserve">350 000,0
(на основании коммерческих предложений и проектов-аналогов)
</t>
  </si>
  <si>
    <t>19.</t>
  </si>
  <si>
    <t xml:space="preserve">Крытый каток с искусственным льдом в г. Мончегорске </t>
  </si>
  <si>
    <t>Минстрой МО,
МО г. Мончегорск с п.т.</t>
  </si>
  <si>
    <t xml:space="preserve"> общая площадь 4466,5 кв.м</t>
  </si>
  <si>
    <t>2013
(разработка ПСД, экспертиза)
Решение о строительстве не принято</t>
  </si>
  <si>
    <t xml:space="preserve">326 517,0 
(в ценах II кв. 2013 в соответствии с экспертизой)
</t>
  </si>
  <si>
    <t>№ п/п</t>
  </si>
  <si>
    <t>Кассовые расходы</t>
  </si>
  <si>
    <r>
      <t xml:space="preserve">ГАУМО "ЦСП", ГАУМО «КСШОР»,  ГАУМО «Мончегорская СШОР», ГАУМО </t>
    </r>
    <r>
      <rPr>
        <sz val="8"/>
        <rFont val="Times New Roman"/>
        <family val="1"/>
        <charset val="204"/>
      </rPr>
      <t>«Кировская СШОР»</t>
    </r>
    <r>
      <rPr>
        <sz val="8"/>
        <color indexed="8"/>
        <rFont val="Times New Roman"/>
        <family val="1"/>
        <charset val="204"/>
      </rPr>
      <t xml:space="preserve"> </t>
    </r>
  </si>
  <si>
    <r>
      <t xml:space="preserve">Адресная финансовая поддержка спортивным организациям, осуществляющим подготовку спортивного резерва для сборных команд Российской Федерации </t>
    </r>
    <r>
      <rPr>
        <sz val="8"/>
        <color indexed="10"/>
        <rFont val="Times New Roman"/>
        <family val="1"/>
        <charset val="204"/>
      </rPr>
      <t xml:space="preserve"> </t>
    </r>
    <r>
      <rPr>
        <sz val="8"/>
        <rFont val="Times New Roman"/>
        <family val="1"/>
        <charset val="204"/>
      </rPr>
      <t xml:space="preserve">оказана не менее 4 государственным спортивным организациям, не менее 8 муниципальным спортивным организациям, в т.ч. на реализацию программ по спортивной подготовке в соответствии с федеральными стандартами спортивной подготовки по базовым  олимпийским, паралимпийским и сурдлимпийским видам спорта; повышение квалификации и переподготовка специалистов в сфере  физической культуры и спорта; приобретение автомобилей (не являющихся легковыми), массой более 3500 кг и с числом посадочных мест (без учета водительского места) более 8; осуществление, в соответствии с порядком, утверждаемым Министерством спорта Российской Федерации, поддержки одаренных спортсменов, занимающихся в организациях, осуществляющих спортивную подготовку и образовательных организациях, реализующих федеральные стандарты спортивной подготовки </t>
    </r>
  </si>
  <si>
    <t xml:space="preserve">КФКиС МО,  ГАУМО «ЦСП», ГАУМО «МОСШОР по зимним видам спорта»,  ГАУМО «Мончегорская СШОР», ГАУМО «Кировская СШОР», администрации муниципальных образований МО </t>
  </si>
  <si>
    <t xml:space="preserve">Строительство объекта "Межшкольный стадион в г. Мурманске" (первый этап)                                                                                                                                                                                                         </t>
  </si>
  <si>
    <t>В 2016-2017 годы - приобретение типового проекта Министерства спорта РФ и его привязка. 2018-2019 годы - строительство 1-го этапа. 2019 год - ввод объекта в эксплуатацию.</t>
  </si>
  <si>
    <t>2014, 2018-2022</t>
  </si>
  <si>
    <t>Начало строительства объекта в 2018 году. Техническая готовность объекта в 2018 году 9%, техническая готовность объекта в 2019 году 28%, техническая готовность объекта в 2020 году 53%, техническая готовность объекта в 2021 году 78%. Ввод объекта в 2022 году.</t>
  </si>
  <si>
    <t>Разработка ПСД, получение заключения Госэкспертизы в 2018 году</t>
  </si>
  <si>
    <t>3.1.13.</t>
  </si>
  <si>
    <t xml:space="preserve">Строительство объекта "Межшкольный стадион в г. Мурманске" (второй этап)                                                                                                                                                                                                         </t>
  </si>
  <si>
    <t xml:space="preserve">2019 год - строительство 2-го этапа и ввод объекта в эксплуатацию. </t>
  </si>
  <si>
    <t>Капитальный ремонт в 2017 году фасада и фойе 1 этажа Дворца спорта МАУ ФСК «Атлет», г. Апатиты</t>
  </si>
  <si>
    <t xml:space="preserve">Исполнение бюджета Комитета по состоянию на "01"января  2019 года </t>
  </si>
  <si>
    <t>№ пункта программы</t>
  </si>
  <si>
    <t>2018 план</t>
  </si>
  <si>
    <t>% ИСПОЛНЕНИЯ</t>
  </si>
  <si>
    <t>Остаток от плана  
(гр.3-гр.4)</t>
  </si>
  <si>
    <t>Наименование АУ - Исполнителя пункта программы</t>
  </si>
  <si>
    <t>бюджетные ассигнования</t>
  </si>
  <si>
    <t>на 01 января 2019</t>
  </si>
  <si>
    <t xml:space="preserve">ИСПОЛНЕНИЕ БЮДЖЕТА ВСЕГО </t>
  </si>
  <si>
    <t>Резервный фонд Мурманской области</t>
  </si>
  <si>
    <t>ГАУМО "ЦСП", Комитет</t>
  </si>
  <si>
    <t>ВСЕГО по Государственной программе "Развитие физической культуры и спорта" :</t>
  </si>
  <si>
    <t>Задача 1.1 "Развитие физической культуры и спорта  среди различных возрастных групп"</t>
  </si>
  <si>
    <t>Основное мероприятие 1.1.1. "Обеспечение организации и проведения физкультурных мероприятий и массовых спортивных мероприятий"</t>
  </si>
  <si>
    <r>
      <rPr>
        <u/>
        <sz val="10"/>
        <rFont val="Times New Roman"/>
        <family val="1"/>
        <charset val="204"/>
      </rPr>
      <t>СУБСИДИЯ НА ФИНАНСОВОЕ ОБЕСПЕЧЕНИЕ ВЫПОЛНЕНИЯ ГЗ</t>
    </r>
    <r>
      <rPr>
        <sz val="10"/>
        <rFont val="Times New Roman"/>
        <family val="1"/>
        <charset val="204"/>
      </rPr>
      <t xml:space="preserve">. Организация и проведение официальных физкультурных (физкультурно-оздоровительных) мероприятий (региональные)
</t>
    </r>
  </si>
  <si>
    <t>1.1.2</t>
  </si>
  <si>
    <t>Комитет</t>
  </si>
  <si>
    <t>1.1.3</t>
  </si>
  <si>
    <t>1.1.4</t>
  </si>
  <si>
    <t>федеральный бюджет</t>
  </si>
  <si>
    <t>Комитет,подвед.учр.</t>
  </si>
  <si>
    <t>областной бюджет</t>
  </si>
  <si>
    <t>1.1.5</t>
  </si>
  <si>
    <t>Закупка комплекта искусственного покрытия для футбольного поля</t>
  </si>
  <si>
    <t>1.1.6</t>
  </si>
  <si>
    <t>Закупка оборудования для обеспечения антитеррористической защищенности объектов спорта</t>
  </si>
  <si>
    <t>Задача 1.2 "Популяризация  физической культуры и спорта среди населения региона</t>
  </si>
  <si>
    <t>Основное мероприятие 1.2.1. "Реализация мероприятий по пропаганде здорового образа жизни и вовлечению населения в занятия физической культурой и массовым спортом"</t>
  </si>
  <si>
    <t>СУБСИДИЯ НА ФИНАНСОВОЕ ОБЕСПЕЧЕНИЕ ВЫПОЛНЕНИЯ ГЗ ("Готов к труду и обороне")</t>
  </si>
  <si>
    <t xml:space="preserve">Организация и проведение физкультурных и спортивных мероприятий в рамках Всероссийского физкультурно-спортивного комплекса "Готов к труду и обороне" (ГТО) ( заисключениемтестирования выполнения нормаьтивов испытания комплекса ГТО) </t>
  </si>
  <si>
    <t xml:space="preserve">Проведение тестирования исполнения нормативов испытаний (тестов) комплекса ГТО </t>
  </si>
  <si>
    <r>
      <rPr>
        <u/>
        <sz val="10"/>
        <rFont val="Times New Roman"/>
        <family val="1"/>
        <charset val="204"/>
      </rPr>
      <t>СУБСИДИЯ НА ФИНАНСОВОЕ ОБЕСПЕЧЕНИЕ ВЫПОЛНЕНИЯ ГЗ (Пропаганда здорового образа</t>
    </r>
    <r>
      <rPr>
        <sz val="10"/>
        <rFont val="Times New Roman"/>
        <family val="1"/>
        <charset val="204"/>
      </rPr>
      <t xml:space="preserve">
</t>
    </r>
  </si>
  <si>
    <t>2</t>
  </si>
  <si>
    <t>Задача 2.1 "Подготовка спортсменов сборных команд Мурманской области"</t>
  </si>
  <si>
    <t>Основное мероприятие 2.1.1. "Проведение спортивных мероприятий, материально-техническое обеспечение спортивных сборных команд Мурманской области"</t>
  </si>
  <si>
    <t>СУБСИДИЯ НА ФИНАНСОВОЕ ОБЕСПЕЧЕНИЕ ВЫПОЛНЕНИЯ ГЗ</t>
  </si>
  <si>
    <t xml:space="preserve">Организация и проведение официальных спортивных мероприятий (региональные) 
</t>
  </si>
  <si>
    <t xml:space="preserve">Обеспечение участия спортивных сборных команд в официальных спортивных мероприятиях (международные) 
</t>
  </si>
  <si>
    <t xml:space="preserve">Обеспечение участия спортивных сборных команд в официальных спортивных мероприятиях (Всероссийские) 
</t>
  </si>
  <si>
    <t xml:space="preserve">Организация мероприятий по подготовке спортивных сборных команд (спортивные сборные команды субъектов Российской Федерации) 
</t>
  </si>
  <si>
    <t xml:space="preserve">Организация и проведение официальных спортивных мероприятий (Всероссийские, на территории Российской Федерации) 
</t>
  </si>
  <si>
    <t>ГАУМО "ЦСП" ГБУДО "МОДЮСШ"</t>
  </si>
  <si>
    <t>Субсидия Федерация по хоккею с мячом Мурманской области (х/к "Мурман")</t>
  </si>
  <si>
    <t>Выплата ЕДВ</t>
  </si>
  <si>
    <t>ГАУМО "МОСШОР"</t>
  </si>
  <si>
    <t>ГАУМО "Комплексная СШОР"</t>
  </si>
  <si>
    <t>ГАУМО "МОСШОР по ЗВС"</t>
  </si>
  <si>
    <t>Тренировочные мероприятия по специальной физической подготовке и ОФП кандидатов спортивных сборных команд МО по видам спорта</t>
  </si>
  <si>
    <t>Задача 2.2 "Совершенствование системы подготовки спортивного резерва"</t>
  </si>
  <si>
    <t>Основное мероприятие 2.2.1. "Реализация программ спортивной подготовки в сфере физической культуры и спорта подведомственными учреждениями"</t>
  </si>
  <si>
    <t>Спортивная подготовка по олимпийским видам спорта, в том числе:</t>
  </si>
  <si>
    <t>ГАУМО "Кировская СШОР по горнолыжному спорту"</t>
  </si>
  <si>
    <t xml:space="preserve">Организация и обеспечение подготовки спортивного резерва 
</t>
  </si>
  <si>
    <t xml:space="preserve">Обеспечение доступа к объектам спорта </t>
  </si>
  <si>
    <t>ГБУДОД "МОДЮСШ"</t>
  </si>
  <si>
    <t>Компенсация расходов на оплату стоимости проезда и провоза багажа к месту использования отпуска лицам, работающим в организациях, финансируемых из областного бюджета</t>
  </si>
  <si>
    <t>2.2.3</t>
  </si>
  <si>
    <t>Оказание адресной финансовой поддержкиспортивным организациям, осуществляющим подготовку спортивного резерва дл сборных команд РФ</t>
  </si>
  <si>
    <t>федеральный бюджент</t>
  </si>
  <si>
    <t>Основное мероприятие 2.2.2. "Обеспечение спортивного резерва инвентарем и оборудованием"</t>
  </si>
  <si>
    <t xml:space="preserve">ГАУМО "ЦСП" </t>
  </si>
  <si>
    <t>Основное мероприятие 1. "Строительство, реконструкция и модернизация спортивных объектов Мурманской области"</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</si>
  <si>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</si>
  <si>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Комитет м/б трансферт</t>
  </si>
  <si>
    <t>Основное мероприятие 4.1. Реализация государственных функций и оказание государственных услуг в сфере физической культуры и спорта"</t>
  </si>
  <si>
    <t>ГП-3 "Социальная поддержка граждан и развитие социально-трудовых отношений"</t>
  </si>
  <si>
    <t>Подпрограмма 2 "Улучшение положения и качества жизни социально уязвимых слоев населения"</t>
  </si>
  <si>
    <t>Основное мероприятие 3."Создание условий для развития физической культуры и спорта для инвалидов"</t>
  </si>
  <si>
    <t>Проведение на территории МО тренировочных сборов и занятий, областных, всероссийских соревнований и спартакиад по различным видам спорта для людей с ограниченными возможностями здоровья</t>
  </si>
  <si>
    <t xml:space="preserve">Участие спортсменов МО с ограниченными возможностями здоровья и тренировочных, межрегиональных, всероссийских, международных, спортивных мероприятиях, семинарах, совещаниях, конференциях по адаптивным видам спорта за пределами региона </t>
  </si>
  <si>
    <t>ГП-17 "Государственное управление и гражданское общество"</t>
  </si>
  <si>
    <t>Подпрограмма 3. "Укрепление этнокультурного многообразия, гражданского самосознания и патриотизма в Мурманской области"</t>
  </si>
  <si>
    <t>Задача 3.1. Формирование патриотического сознания граждан Мурманской области</t>
  </si>
  <si>
    <t>Основное мероприятие 3.1.1. проведение мероприятий, направленных на формирование патриотического сознания граждан Мурманской области</t>
  </si>
  <si>
    <t>Проведение мероприятий по поддержке технических прикладных видов спорта</t>
  </si>
  <si>
    <t>,</t>
  </si>
  <si>
    <t>1.3.</t>
  </si>
  <si>
    <t>1.4.</t>
  </si>
  <si>
    <t>Таблица № 11д</t>
  </si>
  <si>
    <t>Оценка эффективности реализации государственной программы «Развитие физической культуры и спорта" в 2018 году</t>
  </si>
  <si>
    <t>Государственная программа, подпрограмма</t>
  </si>
  <si>
    <t>Ответственный исполнитель</t>
  </si>
  <si>
    <t>К1 (степень достижения показателей)</t>
  </si>
  <si>
    <t>К2 (динамика значений показателей по сравнению с 2016 годом)</t>
  </si>
  <si>
    <t>К3 (степень выполнения мероприятий)</t>
  </si>
  <si>
    <t>ЭГП (интегральный показатель эффективности)</t>
  </si>
  <si>
    <t>Оценка*</t>
  </si>
  <si>
    <t>Государственная программа «_____»</t>
  </si>
  <si>
    <t>высокая</t>
  </si>
  <si>
    <t>1.1</t>
  </si>
  <si>
    <t>Подпрограмма 1 «_____»</t>
  </si>
  <si>
    <t>1.2</t>
  </si>
  <si>
    <t>Подпрограмма 2 «_____»</t>
  </si>
  <si>
    <t>Подпрограмма 3 «_____»</t>
  </si>
  <si>
    <t>Подпрограмма 4 «_____»</t>
  </si>
  <si>
    <t>…</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</si>
  <si>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</si>
  <si>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Таблица № 11г</t>
  </si>
  <si>
    <t>Информация о реализации мер государственного правового регулирования в 2018 году</t>
  </si>
  <si>
    <t xml:space="preserve">№ п/п </t>
  </si>
  <si>
    <t>Вид документа*</t>
  </si>
  <si>
    <t>Основные положения документа*</t>
  </si>
  <si>
    <t>Ответственный исполнитель и соисполнители*</t>
  </si>
  <si>
    <t>Ожидаемые сроки принятия*</t>
  </si>
  <si>
    <t>Результат (принят, не принят), причины невыполнения, отклонения от плановых параметров</t>
  </si>
  <si>
    <t>Наименование и реквизиты принятого акта</t>
  </si>
  <si>
    <t xml:space="preserve">Распоряжение Губернатора Мурамснкой области </t>
  </si>
  <si>
    <t>Утверждение положения и состава организационного комитета Праздника Севера</t>
  </si>
  <si>
    <t>принят</t>
  </si>
  <si>
    <t>Об утверждении Положения об Организационном комитете 
по подготовке и проведению традиционного Праздника Севера 
и Праздника Севера учащихся и его состава 
181-РГ  от 26.12.2016</t>
  </si>
  <si>
    <t xml:space="preserve">Постановление Правительства Мурманской области
</t>
  </si>
  <si>
    <t xml:space="preserve">О внесении изменений в государственную программу Мурманской области "Развитие физической культуры и спорта" на 2014 - 2020 годы
</t>
  </si>
  <si>
    <t>приняты</t>
  </si>
  <si>
    <t>*Графы заполняются в соответствии с Перечнем нормативных правовых актов и иных документов, планируемых к разработке в рамках реализации мер государственного регулирования.</t>
  </si>
  <si>
    <t xml:space="preserve">Исполнение бюджета Комитета по состоянию на "01" июля 2019 года </t>
  </si>
  <si>
    <t>2019 план</t>
  </si>
  <si>
    <t>на 01 июля 2019</t>
  </si>
  <si>
    <t>ВСЕГО по Государственной программе "Развитие физической культуры и спорта" , в том числе региональный проект</t>
  </si>
  <si>
    <t>ВСЕГО:  Региональный проект "Спорт -норма жизни"</t>
  </si>
  <si>
    <r>
      <rPr>
        <b/>
        <u/>
        <sz val="11"/>
        <rFont val="Times New Roman"/>
        <family val="1"/>
        <charset val="204"/>
      </rPr>
      <t>СУБСИДИЯ НА ФИНАНСОВОЕ ОБЕСПЕЧЕНИЕ ВЫПОЛНЕНИЯ ГЗ (Пропаганда физической культуры, спорта и здорового образа жизни)</t>
    </r>
    <r>
      <rPr>
        <b/>
        <sz val="11"/>
        <rFont val="Times New Roman"/>
        <family val="1"/>
        <charset val="204"/>
      </rPr>
      <t xml:space="preserve">
</t>
    </r>
  </si>
  <si>
    <t>Региональный проект "Спорт -норма жизни"</t>
  </si>
  <si>
    <r>
      <rPr>
        <b/>
        <u/>
        <sz val="10"/>
        <rFont val="Times New Roman"/>
        <family val="1"/>
        <charset val="204"/>
      </rPr>
      <t>СУБСИДИЯ НА ФИНАНСОВОЕ ОБЕСПЕЧЕНИЕ ВЫПОЛНЕНИЯ ГЗ</t>
    </r>
    <r>
      <rPr>
        <b/>
        <sz val="10"/>
        <rFont val="Times New Roman"/>
        <family val="1"/>
        <charset val="204"/>
      </rPr>
      <t xml:space="preserve">. 
</t>
    </r>
  </si>
  <si>
    <t xml:space="preserve">Организация и проведение официальных физкультурных (физкультурно-оздоровительных) мероприятий (региональные) 
</t>
  </si>
  <si>
    <t xml:space="preserve">Организация и проведение официальных физкультурных (физкультурно-оздоровительных) мероприятий (Всероссийские) 
</t>
  </si>
  <si>
    <t>Оснащение объектов спортивной инфраструктуры спортивно-технологическим оборудованием</t>
  </si>
  <si>
    <t>Оказание адресной финансовой поддержки спортивным организациям, осуществляющим подготовку спортивного резерва дл сборных команд РФ (возврат субсидии 2018 года)</t>
  </si>
  <si>
    <t>2.4.</t>
  </si>
  <si>
    <t xml:space="preserve">Обеспечение участия в официальных физкультурных (физкультурно-оздоровительных мероприятиях (всероссийские)
</t>
  </si>
  <si>
    <t xml:space="preserve">Организация и проведение официальных спортивных мероприятий (региональные, на территории РФ) 
</t>
  </si>
  <si>
    <t xml:space="preserve">Организация и проведение официальных спортивных мероприятий (межрегиональные, на территории РФ) 
</t>
  </si>
  <si>
    <t xml:space="preserve">Обеспечение участия спортивных сборных команд в официальных спортивных мероприятиях (межрегиональные) 
</t>
  </si>
  <si>
    <t>СУБСИДИЯ НА ФИНАНСОВОЕ ОБЕСПЕЧЕНИЕ ВЫПОЛНЕНИЯ ГЗ (Оказание государственной финансовой поддержки спортивным организациям, осуществляющим подготовку спортивного резерва для сборных команд РФ)</t>
  </si>
  <si>
    <t>МОСШОР</t>
  </si>
  <si>
    <t>СУБСИДИЯ НА ФИНАНСОВОЕ ОБЕСПЕЧЕНИЕ ВЫПОЛНЕНИЯ ГЗ (Закупка спортивного оборудования для спортивных школ олимпийского резерва)</t>
  </si>
  <si>
    <t>Мончегорская СШОР, МОСШОР</t>
  </si>
  <si>
    <t>3.1.15</t>
  </si>
  <si>
    <t>Проведение инженеоных изысканий для подготовки проекта планировки территории</t>
  </si>
  <si>
    <t>3.1.16</t>
  </si>
  <si>
    <t>Разработка проекта планировки территории и проекта межевания территории</t>
  </si>
  <si>
    <t>3.1.17</t>
  </si>
  <si>
    <t>Подготовка основания для установки спортивной площадки, ЗАТО Заозерск</t>
  </si>
  <si>
    <t>3.1.18</t>
  </si>
  <si>
    <t>Подготовка основания для установки спортивной площадк, гп Верхнетуломский</t>
  </si>
  <si>
    <t>3.1.19</t>
  </si>
  <si>
    <t>Подготовка основания для установки спортивной площадки, сп Алакуртти</t>
  </si>
  <si>
    <t>3.1.20</t>
  </si>
  <si>
    <t>Подготовка основания для установки спортивной площадки, пп Гаджиево</t>
  </si>
  <si>
    <t>3.1.21</t>
  </si>
  <si>
    <t>Подготовка основания для установки спортивной площадки, гп Никель</t>
  </si>
  <si>
    <t>3.2.1</t>
  </si>
  <si>
    <t>3.2.22</t>
  </si>
  <si>
    <t>Замена и установка пожарной, охранной сигнализации и системы видеонаблюдения, технологическое присоединение к электросетям</t>
  </si>
  <si>
    <t>МОДЮСШ, Кировская СШОР, МОСШОР</t>
  </si>
  <si>
    <t>3.2.23</t>
  </si>
  <si>
    <t xml:space="preserve">Сертификация спортсооружений </t>
  </si>
  <si>
    <t>ЦСП,Мончегорская СШОР</t>
  </si>
  <si>
    <t>3.2.24</t>
  </si>
  <si>
    <t>Капитальный ремонт дома физкультурника и системы водоочистки  плавательного бассейна г.Оленегорск</t>
  </si>
  <si>
    <t>3.2.25</t>
  </si>
  <si>
    <t>Капитальный ремонт стадиона "Локомотив", гп Кандалакша</t>
  </si>
  <si>
    <t>3.2.26</t>
  </si>
  <si>
    <t>Капитальный ремонт межшкольного стадиона, гп Умба</t>
  </si>
  <si>
    <t>3.2.27</t>
  </si>
  <si>
    <t>Капитальный ремонт межшкольного стадиона, гп Зеленоборский</t>
  </si>
  <si>
    <t>3.4.</t>
  </si>
  <si>
    <t>3.4.8</t>
  </si>
  <si>
    <t>Капитальный ремонт футбольного поля с искусственным покрытием, г. Кировск</t>
  </si>
  <si>
    <t>3.4.9</t>
  </si>
  <si>
    <t>Капитальный ремонт футбольного поля с искусственным покрытием и легкоатлетическими дорожками, гп Кандалакша</t>
  </si>
  <si>
    <t>3.4.10</t>
  </si>
  <si>
    <t>Подготовка основания и установка комплекта спортивно-технологического оборудования для создания малых спортивных площадок, ЗАТО Заозерск</t>
  </si>
  <si>
    <t>3.4.11</t>
  </si>
  <si>
    <t>Подготовка основания и установка комплекта спортивно-технологического оборудования для создания малых спортивных площадок, ЗАТО Североморск</t>
  </si>
  <si>
    <t>заработная плата и начисления</t>
  </si>
  <si>
    <t xml:space="preserve">командировочные расходы </t>
  </si>
  <si>
    <t>прочие расходы</t>
  </si>
  <si>
    <t>компенсация проезда в отпуск</t>
  </si>
  <si>
    <t>компенсация до 3 лет</t>
  </si>
  <si>
    <t xml:space="preserve">Региональный проект «Спорт - норма жизни» </t>
  </si>
  <si>
    <t>1.3.1.</t>
  </si>
  <si>
    <t>2.4.1.</t>
  </si>
  <si>
    <t>2.4.2.</t>
  </si>
  <si>
    <t>2.4.3.</t>
  </si>
  <si>
    <t>Закупка спортивного оборудования для спортивных школ олимпийского резерва и училищ олимпийского резерва</t>
  </si>
  <si>
    <t>Комплексное развитие спорткомплекса "Долина Уюта" в г. Мурманске</t>
  </si>
  <si>
    <t>3.1.14.</t>
  </si>
  <si>
    <t>3.1.15.</t>
  </si>
  <si>
    <t>Строительство объекта «Крытый каток с искусственным льдом МАУ ГСЦ «Авангард»»</t>
  </si>
  <si>
    <t>3.4.3.</t>
  </si>
  <si>
    <t xml:space="preserve">Строительство объекта "Административно-спортивный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</si>
  <si>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3.4.5.</t>
  </si>
  <si>
    <t xml:space="preserve">Строительство объекта «Горнолыжный подъемник специализированной детско-юношеской спортивной школы олимпийского резерва по горнолыжному спорту в г. Кировске»  </t>
  </si>
  <si>
    <t>3.4.7.</t>
  </si>
  <si>
    <t>3.4.8.</t>
  </si>
  <si>
    <t>3.4.10.</t>
  </si>
  <si>
    <t>3.4.11.</t>
  </si>
  <si>
    <t>Приложение №2</t>
  </si>
  <si>
    <t>Государственная программа, подпрограмма, объект капитального строительства</t>
  </si>
  <si>
    <t>Соисполнитель (ГРБС), заказчик-застройщик</t>
  </si>
  <si>
    <t>Проектная мощность</t>
  </si>
  <si>
    <t>Сроки выполнения работ</t>
  </si>
  <si>
    <t>Источ-ник</t>
  </si>
  <si>
    <t xml:space="preserve">Краткая характеристика работ, выполненных за отчетный период, причины отставания </t>
  </si>
  <si>
    <t>Государственная программа 4 "Развитие физической культуры и спорта"</t>
  </si>
  <si>
    <t>Подпрограмма "Развитие спортивной инфраструктуры"</t>
  </si>
  <si>
    <t>Минстрой МО, ГОКУ "УКС"</t>
  </si>
  <si>
    <t xml:space="preserve">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</si>
  <si>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общая площадь 3588,90 кв. м, пропускная способность - 70 чел./см</t>
  </si>
  <si>
    <t>2014
(разработка ПСД, экспертиза),
2018 - 2020
(строительство)</t>
  </si>
  <si>
    <t>Строительство объекта "Быстровозводимый спортивный комплекс с плавательным бассейном в г. Кола"</t>
  </si>
  <si>
    <t>Строительство объекта "Физкультурно-оздоровительный комплекс  в г. Ковдоре"</t>
  </si>
  <si>
    <t>Строительство объекта "Горнолыжная база (г. Полярный, ул. Героев "Тумана", 13)"</t>
  </si>
  <si>
    <t>Министерство спорта и молодежной политики Мурманской области</t>
  </si>
  <si>
    <t>Министрество строительства Мурманской области</t>
  </si>
  <si>
    <t>Мероприятия в области информационно-коммуникационной и статистической системы управления спортом Мурманской области</t>
  </si>
  <si>
    <t>Реализация мероприятий по оснащению объектов спортивной инфраструктуры спортивно-технологическим оборудованием</t>
  </si>
  <si>
    <t>1.3.3.</t>
  </si>
  <si>
    <t>Обучение навыкам плавания детей и подростков в возрасте  от 6 до 10 лет</t>
  </si>
  <si>
    <t>1.3.4.</t>
  </si>
  <si>
    <t>Организация сеансов свободного плавания для лиц, достигших возраста 55 лет (для мужчин), и 50 лет (для женщин), инвалидов, детей-сирот, детей, оставшихся без попечения родителей</t>
  </si>
  <si>
    <t>1.3.5.</t>
  </si>
  <si>
    <t>1.3.6.</t>
  </si>
  <si>
    <t>Организация и проведение  Всероссийских конкурсов, смотров-конкурсов</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</si>
  <si>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t>
  </si>
  <si>
    <t xml:space="preserve">Организация и проведение тренировочных мероприятий для спортсменов, спортивных сборных команд Мурманской области по видам спорта, в том числе медицинских работников  </t>
  </si>
  <si>
    <t>Предоставление субсидий из областного бюджета некоммерческим организациям осуществляющим деятельность в сфере физической культуры и спорта</t>
  </si>
  <si>
    <t>Реализация мероприятий по приобретению спортивного оборудования и инвентаря для приведения  организаций спортивной подготовки в нормативное состояние, в том числе по хоккею</t>
  </si>
  <si>
    <t>Cубсидии бюджетам муниципальных образований Мурманской области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</si>
  <si>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2.4.4.</t>
  </si>
  <si>
    <t>3.2.19.</t>
  </si>
  <si>
    <t>Субсидия на капитальный ремонт футбольного поля с искусственным покрытием и легкоатлетическими беговыми дорожками</t>
  </si>
  <si>
    <t>3.4.12.</t>
  </si>
  <si>
    <t xml:space="preserve"> Основное мероприятие 1 Обеспечение реализации государственных функций и оказание государственных услуг в сфере физической культуры и спорта</t>
  </si>
  <si>
    <t>Обеспечение реализации государственных функций и государственных услуг Министерства спорта и молодежной политики Мурманской области</t>
  </si>
  <si>
    <t>Информация об исполнении государственных программ</t>
  </si>
  <si>
    <t>на 01 июля 2020 года</t>
  </si>
  <si>
    <t>Единица измерения: тыс.руб.</t>
  </si>
  <si>
    <t>Наименование целевой статьи</t>
  </si>
  <si>
    <t>Код целевой статьи</t>
  </si>
  <si>
    <t>Наименование ведомства</t>
  </si>
  <si>
    <t>Код ведомства</t>
  </si>
  <si>
    <t>Сводная бюджетная роспись</t>
  </si>
  <si>
    <t>Сводный лимит БО</t>
  </si>
  <si>
    <t xml:space="preserve">Финансирование </t>
  </si>
  <si>
    <t>Кассовый расход</t>
  </si>
  <si>
    <t xml:space="preserve">Степень освоения средств (кассовый расход к СБР), % </t>
  </si>
  <si>
    <t>Отнесение к ФБ</t>
  </si>
  <si>
    <t>1</t>
  </si>
  <si>
    <t>3</t>
  </si>
  <si>
    <t>4</t>
  </si>
  <si>
    <t>5</t>
  </si>
  <si>
    <t>6</t>
  </si>
  <si>
    <t>7</t>
  </si>
  <si>
    <t>8</t>
  </si>
  <si>
    <t>9</t>
  </si>
  <si>
    <t>10</t>
  </si>
  <si>
    <t>Государственная программа "Развитие здравоохранения"</t>
  </si>
  <si>
    <t>0100000000</t>
  </si>
  <si>
    <t>Подпрограмма 1. "Профилактика заболеваний и формирование здорового образа жизни. Развитие первичной медико-санитарной помощи"</t>
  </si>
  <si>
    <t>0110000000</t>
  </si>
  <si>
    <t>Основное мероприятие 1. Организация медицинской профилактики неинфекционных заболеваний</t>
  </si>
  <si>
    <t>0110100000</t>
  </si>
  <si>
    <t>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</si>
  <si>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0110100050</t>
  </si>
  <si>
    <t>Министерство здравоохранения Мурманской области</t>
  </si>
  <si>
    <t>805</t>
  </si>
  <si>
    <t>Прочие субсидии юридическим лицам и некоммерческим организациям</t>
  </si>
  <si>
    <t>0110160040</t>
  </si>
  <si>
    <t>Основное мероприятие 2. Формирование негативного отношения к потреблению наркотических средств и психотропных веществ, алкоголя, табакокурению</t>
  </si>
  <si>
    <t>0110200000</t>
  </si>
  <si>
    <t>0110200050</t>
  </si>
  <si>
    <t>Министерство образования и науки Мурманской области</t>
  </si>
  <si>
    <t>804</t>
  </si>
  <si>
    <t>Прочие направления расходов государственной программы</t>
  </si>
  <si>
    <t>0110229990</t>
  </si>
  <si>
    <t>Комитет по обеспечению безопасности населения Мурманской области</t>
  </si>
  <si>
    <t>832</t>
  </si>
  <si>
    <t>823</t>
  </si>
  <si>
    <t>Основное мероприятие 3. Организация оказания первичной медико-санитарной помощи</t>
  </si>
  <si>
    <t>0110300000</t>
  </si>
  <si>
    <t>0110300050</t>
  </si>
  <si>
    <t>0110329990</t>
  </si>
  <si>
    <t>Основное мероприятие 4.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</si>
  <si>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0110400000</t>
  </si>
  <si>
    <t>Реализация мероприятий по обеспечению населения медико-социальной помощью</t>
  </si>
  <si>
    <t>0110413390</t>
  </si>
  <si>
    <t>Реализация отдельных полномочий в области лекарственного обеспечения</t>
  </si>
  <si>
    <t>0110451610</t>
  </si>
  <si>
    <t>Реализация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</si>
  <si>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0110451970</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</si>
  <si>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</si>
  <si>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0110452160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</si>
  <si>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</si>
  <si>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0110454600</t>
  </si>
  <si>
    <t>Региональный проект "Развитие системы оказания первичной медико-санитарной помощи"</t>
  </si>
  <si>
    <t>011N100000</t>
  </si>
  <si>
    <t>Закупка авиационной услуги органами государственной власти субъектов Российской Федерации для оказания медицинской помощи с применением авиации</t>
  </si>
  <si>
    <t>011N155540</t>
  </si>
  <si>
    <t>Региональный проект "Борьба с сердечно-сосудистыми заболеваниями"</t>
  </si>
  <si>
    <t>011N200000</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</si>
  <si>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</si>
  <si>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011N255860</t>
  </si>
  <si>
    <t>Региональный проект "Укрепление общественного здоровья"</t>
  </si>
  <si>
    <t>011P400000</t>
  </si>
  <si>
    <t>Коммуникационная кампания по мотивированию граждан к ведению здорового образа жизни</t>
  </si>
  <si>
    <t>011P422280</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</si>
  <si>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</si>
  <si>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0120000000</t>
  </si>
  <si>
    <t>Основное мероприятие 1. Предоставление услуг по оказанию специализированной медицинской помощи, паллиативной помощи</t>
  </si>
  <si>
    <t>0120100000</t>
  </si>
  <si>
    <t>0120100050</t>
  </si>
  <si>
    <t>0120113390</t>
  </si>
  <si>
    <t>0120129990</t>
  </si>
  <si>
    <t>Развитие паллиативной медицинской помощи</t>
  </si>
  <si>
    <t>01201R2010</t>
  </si>
  <si>
    <t>Реализация мероприятий по предупреждению и борьбе с социально значимыми инфекционными заболеваниями</t>
  </si>
  <si>
    <t>01201R2020</t>
  </si>
  <si>
    <t>Основное мероприятие 2. Предоставление услуг по оказанию специализированной, в том числе высокотехнологичной, медицинской помощи</t>
  </si>
  <si>
    <t>0120200000</t>
  </si>
  <si>
    <t>0120200050</t>
  </si>
  <si>
    <t>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</si>
  <si>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01202R4020</t>
  </si>
  <si>
    <t>Основное мероприятие 4. Организация оказания экстренной и скорой медицинской помощи, в том числе санитарно-авиационной</t>
  </si>
  <si>
    <t>0120400000</t>
  </si>
  <si>
    <t>0120400050</t>
  </si>
  <si>
    <t>Основное мероприятие 5. Привлечение населения к донорству</t>
  </si>
  <si>
    <t>0120500000</t>
  </si>
  <si>
    <t>0120500050</t>
  </si>
  <si>
    <t>Основное мероприятие 6. Обеспечение заготовки, хранения и переработки крови и ее компонентов</t>
  </si>
  <si>
    <t>0120600000</t>
  </si>
  <si>
    <t>0120600050</t>
  </si>
  <si>
    <t>Основное мероприятие 7. Обеспечение проведения судебно-медицинской и судебно-психиатрической экспертизы</t>
  </si>
  <si>
    <t>0120700000</t>
  </si>
  <si>
    <t>0120700050</t>
  </si>
  <si>
    <t>Основное мероприятие 8.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t>
  </si>
  <si>
    <t>0120800000</t>
  </si>
  <si>
    <t>0120800050</t>
  </si>
  <si>
    <t>012N200000</t>
  </si>
  <si>
    <t>Оснащение оборудованием региональных сосудистых центров и первичных сосудистых отделений</t>
  </si>
  <si>
    <t>012N251920</t>
  </si>
  <si>
    <t>Региональный проект "Борьба с онкологическими заболеваниями"</t>
  </si>
  <si>
    <t>012N300000</t>
  </si>
  <si>
    <t>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</si>
  <si>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012N351900</t>
  </si>
  <si>
    <t>Подпрограмма 3. "Охрана здоровья матери и ребенка"</t>
  </si>
  <si>
    <t>0130000000</t>
  </si>
  <si>
    <t>Основное мероприятие 1. Применение современных методик диагностики и лечения матерей и детей</t>
  </si>
  <si>
    <t>0130100000</t>
  </si>
  <si>
    <t>0130100050</t>
  </si>
  <si>
    <t>Основное мероприятие 2. Обеспечение оказания медицинской помощи матерям и детям, проведения медицинской и медико-социальной реабилитации матерей и детей</t>
  </si>
  <si>
    <t>0130200000</t>
  </si>
  <si>
    <t>0130200050</t>
  </si>
  <si>
    <t>0130213390</t>
  </si>
  <si>
    <t>Региональный проект "Развитие детского здравоохранения, включая создание современной инфраструктуры оказания медицинской помощи детям"</t>
  </si>
  <si>
    <t>013N400000</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</si>
  <si>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</si>
  <si>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013N451700</t>
  </si>
  <si>
    <t>Подпрограмма 4. "Развитие инфраструктуры системы здравоохранения"</t>
  </si>
  <si>
    <t>0140000000</t>
  </si>
  <si>
    <t>Основное мероприятие 1. Строительство и реконструкция зданий подведомственных учреждений</t>
  </si>
  <si>
    <t>0140100000</t>
  </si>
  <si>
    <t>Строительство объектов социального и производственного комплексов, в том числе объектов общегражданского назначения, жилья, инфраструктуры</t>
  </si>
  <si>
    <t>0140140010</t>
  </si>
  <si>
    <t>Министерство строительства Мурманской области</t>
  </si>
  <si>
    <t>807</t>
  </si>
  <si>
    <t>Основное мероприятие 2. Проведение капитальных и текущих ремонтов объектов системы здравоохранения</t>
  </si>
  <si>
    <t>0140200000</t>
  </si>
  <si>
    <t>0140200050</t>
  </si>
  <si>
    <t>Мероприятия по социальной поддержке инвалидов</t>
  </si>
  <si>
    <t>0140222110</t>
  </si>
  <si>
    <t>0140229990</t>
  </si>
  <si>
    <t>Основное мероприятие 3. Приобретение автотранспорта для подведомственных учреждений</t>
  </si>
  <si>
    <t>0140300000</t>
  </si>
  <si>
    <t>0140300050</t>
  </si>
  <si>
    <t>Подпрограмма 5. "Кадровое обеспечение системы здравоохранения"</t>
  </si>
  <si>
    <t>0150000000</t>
  </si>
  <si>
    <t>Основное мероприятие 1. Создание условий для обеспечения учреждений здравоохранения Мурманской области медицинскими кадрами</t>
  </si>
  <si>
    <t>0150100000</t>
  </si>
  <si>
    <t>0150100050</t>
  </si>
  <si>
    <t>Реализация Закона Мурманской области от 19.12.2014 № 1820-01-ЗМО "О мерах социальной поддержки, направленных на кадровое обеспечение системы здравоохранения Мурманской области"</t>
  </si>
  <si>
    <t>0150111760</t>
  </si>
  <si>
    <t>Основное мероприятие 2. Сохранение кадрового потенциала здравоохранения региона и обеспечение притока медицинских работников в Мурманскую область</t>
  </si>
  <si>
    <t>0150200000</t>
  </si>
  <si>
    <t>0150200050</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</si>
  <si>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</si>
  <si>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01502R1380</t>
  </si>
  <si>
    <t>Региональный проект "Обеспечение медицинских организаций системы здравоохранения квалифицированными кадрами"</t>
  </si>
  <si>
    <t>015N500000</t>
  </si>
  <si>
    <t>015N500050</t>
  </si>
  <si>
    <t>Осуществление мер социальной поддержки и мер стимулирования отдельных категорий медицинских работников в части единовременной компенсационной выплаты</t>
  </si>
  <si>
    <t>015N510500</t>
  </si>
  <si>
    <t>Осуществление мер социальной поддержки и мер стимулирования отдельных категорий медицинских работников в части компенсации оплаты жилого помещения и коммунальных услуг</t>
  </si>
  <si>
    <t>015N510510</t>
  </si>
  <si>
    <t>Осуществление мер социальной поддержки и мер, направленных на привлечение в Мурманскую область специалистов в сфере здравоохранения</t>
  </si>
  <si>
    <t>015N510520</t>
  </si>
  <si>
    <t>Выплата стипендии студентам, получающим высшее медицинское или фармацевтическое образование и поступившим на обучение на условиях целевого приема и заключившим договор о целевом обучении</t>
  </si>
  <si>
    <t>015N510730</t>
  </si>
  <si>
    <t>Выплата стипендии лицам, поступившим на обучение в ординатуру на условиях  целевого приема и заключившим договор о целевом обучении</t>
  </si>
  <si>
    <t>015N510760</t>
  </si>
  <si>
    <t>015N513060</t>
  </si>
  <si>
    <t>Предоставление социальных выплат отдельным категориям медицинских работников на приобретение и (или) строительство жилого помещения за счет средств  областного бюджета</t>
  </si>
  <si>
    <t>015N513080</t>
  </si>
  <si>
    <t>Предоставление ежемесячной денежной выплаты на оплату жилого помещения и (или) коммунальных услуг отдельным категориям граждан, работающих в  областных учреждениях (организациях),  в соответствии с Законом Мурманской области от 27.12.2004 № 561-01-ЗМО "О мерах социальной поддержки отдельных категорий граждан, работающих в сельских населенных пунктах или поселках городского типа"</t>
  </si>
  <si>
    <t>015N513240</t>
  </si>
  <si>
    <t>Предоставление ежемесячной денежной выплаты на оплату жилого помещения и (или) коммунальных услуг отдельным категориям граждан, работающих в  областных учреждениях (организациях), в соответствии с Законом Мурманской области от 19.12.2014 № 1811-01-ЗМО  "О сохранении права на меры социальной поддержки отдельных категорий граждан в связи с упразднением поселка городского типа Росляково"</t>
  </si>
  <si>
    <t>015N513250</t>
  </si>
  <si>
    <t>015N513390</t>
  </si>
  <si>
    <t>Организация подготовки специалистов по программам дополнительного профессионального образования</t>
  </si>
  <si>
    <t>015N522320</t>
  </si>
  <si>
    <t>015N529990</t>
  </si>
  <si>
    <t>Подпрограмма 6. "Развитие информатизации в здравоохранении"</t>
  </si>
  <si>
    <t>0160000000</t>
  </si>
  <si>
    <t>Основное мероприятие 1. Совершенствование программно-технологической и коммуникационной инфраструктуры системы здравоохранения</t>
  </si>
  <si>
    <t>0160100000</t>
  </si>
  <si>
    <t>Расходы на обеспечение функций государственных органов, в том числе территориальных органов</t>
  </si>
  <si>
    <t>0160100030</t>
  </si>
  <si>
    <t>0160100050</t>
  </si>
  <si>
    <t>Основное мероприятие 2. Обеспечение поддержки принятия управленческих решений при управлении сферой здравоохранения с применением современных информационных систем</t>
  </si>
  <si>
    <t>0160200000</t>
  </si>
  <si>
    <t>0160200030</t>
  </si>
  <si>
    <t>0160200050</t>
  </si>
  <si>
    <t>Мероприятия в области информационно-коммуникационной и телекоммуникационной инфраструктуры информационного общества</t>
  </si>
  <si>
    <t>0160220100</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</si>
  <si>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</si>
  <si>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016N700000</t>
  </si>
  <si>
    <t>Обеспечение функционирования государственных информационных систем, защищенной сети передачи данных в здравоохранении Мурманской области</t>
  </si>
  <si>
    <t>016N722270</t>
  </si>
  <si>
    <t>Субсидия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</si>
  <si>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016N751140</t>
  </si>
  <si>
    <t>Подпрограмма 7. "Управление системой здравоохранения, включая обеспечение реализации государственной программы"</t>
  </si>
  <si>
    <t>0170000000</t>
  </si>
  <si>
    <t>Основное мероприятие 1. Обеспечение реализации государственных функций в сфере охраны здоровья, координация деятельности государственных учреждений здравоохранения Мурманской области при размещении заказов на поставку товаров, выполнение работ, оказание услуг путем проведения совместных торгов</t>
  </si>
  <si>
    <t>0170100000</t>
  </si>
  <si>
    <t>Расходы на выплаты по оплате труда работников государственных органов</t>
  </si>
  <si>
    <t>0170100010</t>
  </si>
  <si>
    <t>0170100030</t>
  </si>
  <si>
    <t>0170100050</t>
  </si>
  <si>
    <t>0170113060</t>
  </si>
  <si>
    <t>0170129990</t>
  </si>
  <si>
    <t>Основное мероприятие 2. Предоставление межбюджетных трансфертов и иные платежи, производимые в целях  организации обязательного медицинского страхования на территории субъекта  Российской Федерации</t>
  </si>
  <si>
    <t>0170200000</t>
  </si>
  <si>
    <t>Страховые взносы на обязательное медицинское страхование неработающего населения</t>
  </si>
  <si>
    <t>0170277010</t>
  </si>
  <si>
    <t>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</si>
  <si>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0170277020</t>
  </si>
  <si>
    <t>Основное мероприятие 3. Обеспечение реализации переданных Российской Федерации полномочий в области охраны здоровья граждан по лицензированию отдельных видов деятельности</t>
  </si>
  <si>
    <t>0170300000</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</si>
  <si>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t>
  </si>
  <si>
    <t>0170359800</t>
  </si>
  <si>
    <t>Государственная программа "Развитие образования"</t>
  </si>
  <si>
    <t>0200000000</t>
  </si>
  <si>
    <t>Подпрограмма 1. "Развитие профессионального образования"</t>
  </si>
  <si>
    <t>0210000000</t>
  </si>
  <si>
    <t>Основное мероприятие 1. Реализация образовательных программ среднего профессионального образования и профессионального обучения на основе государственного задания с учетом выхода на эффективный контракт с педагогическими работниками</t>
  </si>
  <si>
    <t>0210100000</t>
  </si>
  <si>
    <t>0210100050</t>
  </si>
  <si>
    <t>Министерство культуры Мурманской области</t>
  </si>
  <si>
    <t>822</t>
  </si>
  <si>
    <t>0210113240</t>
  </si>
  <si>
    <t>0210113250</t>
  </si>
  <si>
    <t>Выплата стипендии лицам, обучающимся в образовательных организациях, а также предоставление указанным лицам иных мер социальной поддержки</t>
  </si>
  <si>
    <t>0210113800</t>
  </si>
  <si>
    <t>0210129990</t>
  </si>
  <si>
    <t>Основное мероприятие 2. Переподготовка и повышение квалификации педагогических и управленческих кадров для системы образования</t>
  </si>
  <si>
    <t>0210200000</t>
  </si>
  <si>
    <t>0210200050</t>
  </si>
  <si>
    <t>0210229990</t>
  </si>
  <si>
    <t>Основное мероприятие 3. Формирование современной структуры сети государственных областных профессиональных образовательных организаций, отражающей изменения в потребностях экономики и запросах населения и поддерживающей единое образовательное пространство</t>
  </si>
  <si>
    <t>0210300000</t>
  </si>
  <si>
    <t>0210300050</t>
  </si>
  <si>
    <t>Реализация мероприятий государственной программы Российской Федерации "Доступная среда" на 2011-2020 годы</t>
  </si>
  <si>
    <t>02103R0270</t>
  </si>
  <si>
    <t>Региональный проект "Молодые профессионалы"</t>
  </si>
  <si>
    <t>021E600000</t>
  </si>
  <si>
    <t>Обеспечение проведения аттестации обучающихся по программам среднего профессионального образования с использованием механизма демонстрационного экзамена</t>
  </si>
  <si>
    <t>021E661634</t>
  </si>
  <si>
    <t>Подпрограмма 2. "Развитие дошкольного, общего и дополнительного образования детей"</t>
  </si>
  <si>
    <t>0220000000</t>
  </si>
  <si>
    <t>Основное мероприятие 1. Обеспечение предоставления услуг в сфере дошкольного, общего и дополнительного образования</t>
  </si>
  <si>
    <t>0220100000</t>
  </si>
  <si>
    <t>0220100050</t>
  </si>
  <si>
    <t>0220113240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</si>
  <si>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</si>
  <si>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0220153030</t>
  </si>
  <si>
    <t>0220160040</t>
  </si>
  <si>
    <t>Реализация Закона Мурманской области "О региональных нормативах финансового обеспечения образовательной деятельности в Мурманской области" (в части финансового обеспечения частных общеобразовательных организаций)</t>
  </si>
  <si>
    <t>0220160550</t>
  </si>
  <si>
    <t>Реализация Закона Мурманской области "О региональных нормативах финансового обеспечения образовательной деятельности дошкольных образовательных организаций" (в части финансового обеспечения частных дошкольных организаций)</t>
  </si>
  <si>
    <t>0220160560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</si>
  <si>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</si>
  <si>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0220175310</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</si>
  <si>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</si>
  <si>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0220175360</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</si>
  <si>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</si>
  <si>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0220175370</t>
  </si>
  <si>
    <t>Основное мероприятие 2. Создание условий для повышения качества образовательных услуг общего образования и дополнительного образования детей</t>
  </si>
  <si>
    <t>0220200000</t>
  </si>
  <si>
    <t>0220200050</t>
  </si>
  <si>
    <t>0220229990</t>
  </si>
  <si>
    <t>Расходы областного бюджета на софинансирование мероприятий федеральных целевых программ</t>
  </si>
  <si>
    <t>0220229998</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</si>
  <si>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</si>
  <si>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02202R2560</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</si>
  <si>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</si>
  <si>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02202R5380</t>
  </si>
  <si>
    <t>Основное мероприятие 3. Организация качественного отдыха и оздоровления детей в возрасте от 6 до 18 лет</t>
  </si>
  <si>
    <t>0220300000</t>
  </si>
  <si>
    <t>Мероприятия, связанные с отдыхом и оздоровлением детей Мурманской области</t>
  </si>
  <si>
    <t>0220320110</t>
  </si>
  <si>
    <t>Субсидия на организацию отдыха детей Мурманской области в муниципальных образовательных организациях</t>
  </si>
  <si>
    <t>0220371070</t>
  </si>
  <si>
    <t>Региональный проект "Современная школа"</t>
  </si>
  <si>
    <t>022E100000</t>
  </si>
  <si>
    <t>Обновление материально-технической базы для формирования у обучающихся современных технологических и гуманитарных навыков</t>
  </si>
  <si>
    <t>022E151690</t>
  </si>
  <si>
    <t>Поддержка образования для детей с ограниченными возможностями здоровья</t>
  </si>
  <si>
    <t>022E151870</t>
  </si>
  <si>
    <t>Региональный проект "Успех каждого ребенка"</t>
  </si>
  <si>
    <t>022E200000</t>
  </si>
  <si>
    <t>Организация работы Регионального центра выявления и поддержки одаренных детей</t>
  </si>
  <si>
    <t>022E200150</t>
  </si>
  <si>
    <t>Развитие дополнительного образования детей</t>
  </si>
  <si>
    <t>022E200160</t>
  </si>
  <si>
    <t>Создание мобильных технопарков "Кванториум"</t>
  </si>
  <si>
    <t>022E252470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</si>
  <si>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</si>
  <si>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022E254910</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</si>
  <si>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</si>
  <si>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022E255370</t>
  </si>
  <si>
    <t>Региональный проект "Поддержка семей имеющих детей"</t>
  </si>
  <si>
    <t>022E300000</t>
  </si>
  <si>
    <t>Государственная поддержка некоммерческих организаций в целях оказания психолого-педагогической, методической и консультативной помощи гражданам, имеющим детей</t>
  </si>
  <si>
    <t>022E362292</t>
  </si>
  <si>
    <t>Подпрограмма 3. "Развитие современной инфраструктуры системы образования"</t>
  </si>
  <si>
    <t>0230000000</t>
  </si>
  <si>
    <t>Основное мероприятие 1. Строительство, реконструкция, капитальный и текущий ремонт организаций образования</t>
  </si>
  <si>
    <t>0230100000</t>
  </si>
  <si>
    <t>0230100050</t>
  </si>
  <si>
    <t>0230129990</t>
  </si>
  <si>
    <t>0230140010</t>
  </si>
  <si>
    <t>Субсидия на проведение капитальных и текущих ремонтов муниципальных образовательных организаций</t>
  </si>
  <si>
    <t>0230170780</t>
  </si>
  <si>
    <t>Субсидия на софинансирование капитальных вложений в объекты муниципальной собственности</t>
  </si>
  <si>
    <t>0230174000</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</si>
  <si>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</si>
  <si>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02301R2550</t>
  </si>
  <si>
    <t>Основное мероприятие 2. Комплексная безопасность и ресурсное обеспечение организаций образования</t>
  </si>
  <si>
    <t>0230200000</t>
  </si>
  <si>
    <t>0230200050</t>
  </si>
  <si>
    <t>0230229990</t>
  </si>
  <si>
    <t>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</si>
  <si>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0230270630</t>
  </si>
  <si>
    <t>Субсидии на обеспечение комплексной безопасности муниципальных образовательных организаций</t>
  </si>
  <si>
    <t>0230270790</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</si>
  <si>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</si>
  <si>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0230271040</t>
  </si>
  <si>
    <t>Субвенция на обеспечение бесплатным питанием отдельных категорий обучающихся</t>
  </si>
  <si>
    <t>0230275320</t>
  </si>
  <si>
    <t>02302R0270</t>
  </si>
  <si>
    <t>Основное мероприятие 3. Информатизация образования</t>
  </si>
  <si>
    <t>0230300000</t>
  </si>
  <si>
    <t>0230300050</t>
  </si>
  <si>
    <t>0230329990</t>
  </si>
  <si>
    <t>023E100000</t>
  </si>
  <si>
    <t>Реализация мероприятий по содействию созданию в субъектах Российской Федерации новых мест в общеобразовательных организациях</t>
  </si>
  <si>
    <t>023E155200</t>
  </si>
  <si>
    <t>023E200000</t>
  </si>
  <si>
    <t>Создание в общеобразовательных организациях, расположенных в сельской местности, условий для занятий физической культурой и спортом</t>
  </si>
  <si>
    <t>023E250970</t>
  </si>
  <si>
    <t>Региональный проект "Цифровая образовательная среда"</t>
  </si>
  <si>
    <t>023E400000</t>
  </si>
  <si>
    <t>Обеспечение доступа образовательных организаций к сети Интернет</t>
  </si>
  <si>
    <t>023E400170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</si>
  <si>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</si>
  <si>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023E452100</t>
  </si>
  <si>
    <t>Региональный проект "Содействие занятости женщин - создание условий дошкольного образования для детей в возрасте до трех лет"</t>
  </si>
  <si>
    <t>023P200000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</si>
  <si>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</si>
  <si>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023P252320</t>
  </si>
  <si>
    <t>Подпрограмма 4. "Обеспечение реализации государственной программы"</t>
  </si>
  <si>
    <t>0240000000</t>
  </si>
  <si>
    <t>Основное мероприятие 1. Реализация государственных функций, оказание государственных услуг, выполнение государственных работ в сфере образования</t>
  </si>
  <si>
    <t>0240100000</t>
  </si>
  <si>
    <t>0240100010</t>
  </si>
  <si>
    <t>0240100030</t>
  </si>
  <si>
    <t>0240113060</t>
  </si>
  <si>
    <t>0240113070</t>
  </si>
  <si>
    <t>Мероприятия, направленные на профессиональную подготовку, переподготовку и повышение квалификации государственных (муниципальных) служащих и работников государственных (муниципальных) учреждений</t>
  </si>
  <si>
    <t>0240120080</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</si>
  <si>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t>
  </si>
  <si>
    <t>0240159900</t>
  </si>
  <si>
    <t>Основное мероприятие 2. Реализация государственного задания и прочих мероприятий организациями, обеспечивающими предоставление услуг (выполнение работ) в сфере образования</t>
  </si>
  <si>
    <t>0240200000</t>
  </si>
  <si>
    <t>0240200050</t>
  </si>
  <si>
    <t>0240213060</t>
  </si>
  <si>
    <t>0240213070</t>
  </si>
  <si>
    <t>Государственная программа "Социальная поддержка граждан"</t>
  </si>
  <si>
    <t>0300000000</t>
  </si>
  <si>
    <t>Подпрограмма 1. "Модернизация системы социального обслуживания населения Мурманской области"</t>
  </si>
  <si>
    <t>0310000000</t>
  </si>
  <si>
    <t>Основное мероприятие 2. Укрепление материально-технической базы учреждений социального обслуживания населения, открытие и развитие отделений и служб</t>
  </si>
  <si>
    <t>0310200000</t>
  </si>
  <si>
    <t>0310200050</t>
  </si>
  <si>
    <t>Министерство труда и социального развития Мурманской области</t>
  </si>
  <si>
    <t>803</t>
  </si>
  <si>
    <t>0310229990</t>
  </si>
  <si>
    <t>Основное мероприятие 3. Обеспечение качества и своевременности предоставления услуг населению государственными областными учреждениями системы социального обслуживания населения, привлечение к оказанию услуг в сфере социального обслуживания негосударственных организаций</t>
  </si>
  <si>
    <t>0310300000</t>
  </si>
  <si>
    <t>0310300050</t>
  </si>
  <si>
    <t>0310313060</t>
  </si>
  <si>
    <t>0310313070</t>
  </si>
  <si>
    <t>0310313240</t>
  </si>
  <si>
    <t>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</si>
  <si>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0310359400</t>
  </si>
  <si>
    <t>Выплата компенсации поставщикам социальных услуг, которые включены в реестр поставщиков социальных услуг Мурманской области, но не участвуют в выполнении государственного задания (заказа), оказывающим социальные услуги получателям социальных услуг в соответствии с индивидуальными программами предоставления социальных услуг</t>
  </si>
  <si>
    <t>0310360020</t>
  </si>
  <si>
    <t>Основное мероприятие 4. Устранение предписаний контрольно-надзорных органов, улучшение условий комплексной безопасности в учреждениях системы социального обслуживания населения</t>
  </si>
  <si>
    <t>0310400000</t>
  </si>
  <si>
    <t>0310400050</t>
  </si>
  <si>
    <t>Основное мероприятие 5. Повышение эффективности государственной поддержки социально ориентированных некоммерческих организаций</t>
  </si>
  <si>
    <t>0310500000</t>
  </si>
  <si>
    <t>0310560040</t>
  </si>
  <si>
    <t>Подпрограмма 2. "Улучшение положения и качества жизни социально уязвимых слоев населения"</t>
  </si>
  <si>
    <t>0320000000</t>
  </si>
  <si>
    <t>Основное мероприятие 1. Социальная поддержка инвалидов</t>
  </si>
  <si>
    <t>0320100000</t>
  </si>
  <si>
    <t>0320122110</t>
  </si>
  <si>
    <t>Государственная поддержка социально ориентированных некоммерческих организаций</t>
  </si>
  <si>
    <t>0320160030</t>
  </si>
  <si>
    <t>0320160040</t>
  </si>
  <si>
    <t>Реализация мероприятий субъектов Российской Федерации в сфере реабилитации и абилитации инвалидов</t>
  </si>
  <si>
    <t>03201R5140</t>
  </si>
  <si>
    <t>Основное мероприятие 2. Создание доступной информационной среды для инвалидов</t>
  </si>
  <si>
    <t>0320200000</t>
  </si>
  <si>
    <t>0320222110</t>
  </si>
  <si>
    <t>Основное мероприятие 4. Социальная поддержка граждан в трудной жизненной ситуации и повышение профессиональных компетенций сотрудников учреждений социального обслуживания населения</t>
  </si>
  <si>
    <t>0320400000</t>
  </si>
  <si>
    <t>Мероприятия по социальной поддержке граждан в трудной жизненной ситуации</t>
  </si>
  <si>
    <t>0320422210</t>
  </si>
  <si>
    <t>0320429990</t>
  </si>
  <si>
    <t>0320460040</t>
  </si>
  <si>
    <t>03204R5140</t>
  </si>
  <si>
    <t>Основное мероприятие 5. Обеспечение социальных гарантий и усиления адресной направленности мер социальной поддержки населению</t>
  </si>
  <si>
    <t>0320500000</t>
  </si>
  <si>
    <t>Региональная доплата к пенсии пенсионерам, получающим минимальную пенсию по старости и иные региональные доплаты к пенсиям</t>
  </si>
  <si>
    <t>0320510010</t>
  </si>
  <si>
    <t>Предоставление ежемесячной жилищно-коммунальной выплаты ветеранам труда и лицам, приравненным к ним по состоянию на 31 декабря 2004 года</t>
  </si>
  <si>
    <t>0320510020</t>
  </si>
  <si>
    <t>Предоставление ежемесячной жилищно-коммунальной выплаты реабилитированным лицам и лицам, признанным пострадавшими от политических репрессий</t>
  </si>
  <si>
    <t>0320510030</t>
  </si>
  <si>
    <t>Расходы на ежемесячную денежную выплату ветеранам труда</t>
  </si>
  <si>
    <t>0320510100</t>
  </si>
  <si>
    <t>Расходы на ежемесячную денежную выплату труженикам тыла</t>
  </si>
  <si>
    <t>0320510110</t>
  </si>
  <si>
    <t>Расходы на ежемесячную денежную выплату реабилитированным лицам и лицам, признанным пострадавшими от политических репрессий</t>
  </si>
  <si>
    <t>0320510120</t>
  </si>
  <si>
    <t>Расходы на ежемесячную денежную выплату пенсионерам по старости (женщины с 55 лет, мужчины с 60 лет)</t>
  </si>
  <si>
    <t>0320510130</t>
  </si>
  <si>
    <t>Ежемесячная денежная выплата при рождении  первого ребенка до достижения им возраста полутора лет</t>
  </si>
  <si>
    <t>0320510140</t>
  </si>
  <si>
    <t>Ежемесячное пособие на ребенка</t>
  </si>
  <si>
    <t>0320510200</t>
  </si>
  <si>
    <t>Предоставление регионального материнского (семейного) капитала</t>
  </si>
  <si>
    <t>0320510210</t>
  </si>
  <si>
    <t>Выплата единовременного пособия при поступлении ребенка в 1 класс</t>
  </si>
  <si>
    <t>0320510220</t>
  </si>
  <si>
    <t>Выплата единовременного пособия при рождении одновременно двух и более детей</t>
  </si>
  <si>
    <t>0320510240</t>
  </si>
  <si>
    <t>Предоставление единовременной денежной выплаты лицам, награжденным орденом "Родительская слава", почетным знаком Мурманской области "Материнская слава"</t>
  </si>
  <si>
    <t>0320510270</t>
  </si>
  <si>
    <t>Единовременное пособие семейным парам, прожившим в зарегистрированном браке 50 лет, 60 и более лет</t>
  </si>
  <si>
    <t>0320510300</t>
  </si>
  <si>
    <t>Единовременная денежная выплата в связи с празднованием Дня защитника Отечества</t>
  </si>
  <si>
    <t>0320510310</t>
  </si>
  <si>
    <t>Единовременная денежная выплата в связи с празднованием Дня Победы в Великой Отечественной войне 1941-1945 гг.</t>
  </si>
  <si>
    <t>0320510320</t>
  </si>
  <si>
    <t>Единовременная денежная выплата в связи с празднованием годовщины разгрома немецко-фашистских войск в Заполярье</t>
  </si>
  <si>
    <t>0320510330</t>
  </si>
  <si>
    <t>Единовременная денежная выплата гражданам, родившимся в период с 23 июня 1923 года по 3 сентября 1945 года</t>
  </si>
  <si>
    <t>0320510340</t>
  </si>
  <si>
    <t>Ежегодная единовременная денежная выплата ко Дню Мурманской области (28 мая)</t>
  </si>
  <si>
    <t>0320510360</t>
  </si>
  <si>
    <t>Выплата социального пособия на погребение за счет бюджетов субъектов Российской Федерации и местных бюджетов</t>
  </si>
  <si>
    <t>0320510380</t>
  </si>
  <si>
    <t>Выплата единовременного пособия при переезде на постоянное место жительства за пределы Мурманской области</t>
  </si>
  <si>
    <t>0320510390</t>
  </si>
  <si>
    <t>Оказание финансовой поддержки семьям, имеющим больных фенилкетонурией</t>
  </si>
  <si>
    <t>0320510400</t>
  </si>
  <si>
    <t>Реализация Закона Мурманской области "О физической культуре и спорте в Мурманской области" в части дополнительного материального обеспечения лицам, имеющим выдающиеся достижения и особые заслуги перед Российской Федерацией в сфере физической культуры и спорта</t>
  </si>
  <si>
    <t>0320510600</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</si>
  <si>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субъектов Российской Федерации (социальные выплаты)</t>
  </si>
  <si>
    <t>0320510700</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</si>
  <si>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</si>
  <si>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0320510710</t>
  </si>
  <si>
    <t>Предоставление ежемесячной денежной выплаты на оплату жилого помещения и коммунальных услуг гражданам, родившимся в период с 23 июня 1923 года по 3 сентября 1945 года</t>
  </si>
  <si>
    <t>0320510790</t>
  </si>
  <si>
    <t>Выплата региональной социальной доплаты к пенсии</t>
  </si>
  <si>
    <t>0320513010</t>
  </si>
  <si>
    <t>Доплаты к пенсиям государственных служащих субъектов Российской Федерации и муниципальных служащих</t>
  </si>
  <si>
    <t>0320513020</t>
  </si>
  <si>
    <t>Предоставление ежемесячной социальной выплаты спасателям аварийно-спасательной службы Мурманской области, аварийно-спасательных формирований Мурманской области</t>
  </si>
  <si>
    <t>0320513100</t>
  </si>
  <si>
    <t>Предоставление мер социальной поддержки в виде денежной выплаты в пределах установленного Правительством Мурманской области размера оплаты стоимости социальной услуги по изготовлению зубных ортопедических конструкций любой сложности</t>
  </si>
  <si>
    <t>0320513110</t>
  </si>
  <si>
    <t>Предоставление гражданам субсидий на оплату жилого помещения и коммунальных услуг</t>
  </si>
  <si>
    <t>0320513200</t>
  </si>
  <si>
    <t>Реализация мер социальной поддержки по оплате коммунальных услуг многодетным семьям</t>
  </si>
  <si>
    <t>0320513230</t>
  </si>
  <si>
    <t>Расходы на выплату адресной государственной социальной помощи</t>
  </si>
  <si>
    <t>0320513300</t>
  </si>
  <si>
    <t>Возмещение расходов по гарантированному перечню услуг по погребению</t>
  </si>
  <si>
    <t>0320513310</t>
  </si>
  <si>
    <t>Компенсация затрат и возмещение стоимости услуг, связанных с погребением реабилитированных лиц</t>
  </si>
  <si>
    <t>0320513320</t>
  </si>
  <si>
    <t>Реализация мер социальной поддержки реабилитированных лиц и лиц, признанных пострадавшими от политических репрессий, в части бесплатной установки телефона</t>
  </si>
  <si>
    <t>0320513330</t>
  </si>
  <si>
    <t>Средства на возмещение стоимости по оплате проезда один раз в год в противотуберкулезный санаторий и обратно неработающим гражданам, пенсионерам, детям и одному из родителей детей</t>
  </si>
  <si>
    <t>0320513340</t>
  </si>
  <si>
    <t>Оплата 50 % стоимости проезда к месту отдыха и обратно в пределах территории Российской Федерации (один раз в два года)</t>
  </si>
  <si>
    <t>0320513350</t>
  </si>
  <si>
    <t>Оказание материальной помощи пенсионерам, оказавшимся в трудной жизненной ситуации</t>
  </si>
  <si>
    <t>0320513360</t>
  </si>
  <si>
    <t>Оказание материальной помощи инвалидам, семьям, имеющим инвалидов, оказавшимся в трудной жизненной ситуации</t>
  </si>
  <si>
    <t>0320513370</t>
  </si>
  <si>
    <t>Возмещение расходов инвалидам, детям-инвалидам и лицам, сопровождающим инвалидов первой группы и детей-инвалидов, по проезду в Центр реабилитации слепых и в школы-интернаты для слепых и слабовидящих</t>
  </si>
  <si>
    <t>0320513380</t>
  </si>
  <si>
    <t>Обеспечение протезно-ортопедическими изделиями отдельных категорий граждан, проживающих на территории Мурманской области, не являющихся инвалидами, но по медицинским показаниям нуждающихся в протезно-ортопедической помощи (включая компенсацию расходов, связанных с приобретением протезно-ортопедических изделий)</t>
  </si>
  <si>
    <t>0320513750</t>
  </si>
  <si>
    <t>Реализация Закона Мурманской области "О пожарной безопасности в Мурманской области" в части предоставления ежемесячной социальной выплаты работникам Государственной противопожарной службы Мурманской области</t>
  </si>
  <si>
    <t>0320513760</t>
  </si>
  <si>
    <t>Предоставление ежемесячной денежной выплаты на оплату жилого помещения и (или) коммунальных услуг пенсионерам в соответствии с Законом Мурманской области от 19.12.2014 № 1811-01-ЗМО "О сохранении права на меры социальной поддержки отдельных категорий граждан в связи с упразднением поселка городского типа Росляково"</t>
  </si>
  <si>
    <t>0320513770</t>
  </si>
  <si>
    <t>Предоставление ежемесячной жилищно-коммунальной выплаты  пенсионерам в соответствии с Законом Мурманской области от 27.12.2004 № 561-01-ЗМО "О мерах социальной поддержки отдельных категорий граждан, работающих в сельских населенных пунктах или поселках городского типа"</t>
  </si>
  <si>
    <t>0320513780</t>
  </si>
  <si>
    <t>Предоставление ежемесячной доплаты до размера ежемесячного взноса на капитальный ремонт общего имущества в многоквартирном доме собственникам жилых помещений в многоквартирных домах, достигшим возраста 80 лет</t>
  </si>
  <si>
    <t>0320513790</t>
  </si>
  <si>
    <t>0320529990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</si>
  <si>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</si>
  <si>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0320551370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</si>
  <si>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</si>
  <si>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0320552200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</si>
  <si>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</si>
  <si>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0320552400</t>
  </si>
  <si>
    <t>Оплата жилищно-коммунальных услуг отдельным категориям граждан</t>
  </si>
  <si>
    <t>0320552500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</si>
  <si>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</si>
  <si>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0320552700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</si>
  <si>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</si>
  <si>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0320552800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</si>
  <si>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</si>
  <si>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0320553800</t>
  </si>
  <si>
    <t>032055380F</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</si>
  <si>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</si>
  <si>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0320575100</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</si>
  <si>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</si>
  <si>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0320575110</t>
  </si>
  <si>
    <t>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(или) коммунальных услуг специалистам муниципальных учреждений (организаций), указанным в пункте 1 статьи 1, и лицам, указанным в статье 2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</si>
  <si>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0320575120</t>
  </si>
  <si>
    <t>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организации предоставления ежемесячной денежной выплаты на оплату жилого помещения и (или) коммунальных услуг специалистам муниципальных учреждений (организаций), указанным в пункте 1 статьи 1, и лицам, указанным в статье 2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</si>
  <si>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0320575130</t>
  </si>
  <si>
    <t>Субвенция на возмещение расходов по гарантированному перечню услуг по погребению</t>
  </si>
  <si>
    <t>0320575230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</si>
  <si>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</si>
  <si>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0320575530</t>
  </si>
  <si>
    <t>Иные межбюджетные трансферты бюджету муниципального образования город Мурманск на реализацию пункта 2 статьи 1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</si>
  <si>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0320577050</t>
  </si>
  <si>
    <t>Выплата региональных социальных доплат к пенсии</t>
  </si>
  <si>
    <t>03205R0070</t>
  </si>
  <si>
    <t>Ежемесячная выплата на детей в возрасте от трех до семи лет включительно</t>
  </si>
  <si>
    <t>03205R3020</t>
  </si>
  <si>
    <t>Компенсация отдельным категориям граждан оплаты взноса на капитальный ремонт общего имущества в многоквартирном доме</t>
  </si>
  <si>
    <t>03205R4620</t>
  </si>
  <si>
    <t>Основное мероприятие 6. Организация оздоровления и отдыха в санаториях Мурманской области лиц старше 70 лет, реабилитированных лиц и лиц, признанных пострадавшими от политических репрессий</t>
  </si>
  <si>
    <t>0320600000</t>
  </si>
  <si>
    <t>0320622210</t>
  </si>
  <si>
    <t>Основное мероприятие 7. Организация оздоровления и отдыха за пределами Мурманской области ветеранов Великой Отечественной войны, ветеранов труда, ветеранов труда Мурманской области, тружеников тыла, реабилитированных лиц и лиц, признанных пострадавшими от политических репрессий, работников государственных областных и муниципальных учреждений и их детей до 18 лет</t>
  </si>
  <si>
    <t>0320700000</t>
  </si>
  <si>
    <t>0320722210</t>
  </si>
  <si>
    <t>Основное мероприятие 8. Обеспечение медико-социальной помощи отдельным категориям граждан</t>
  </si>
  <si>
    <t>0320800000</t>
  </si>
  <si>
    <t>Реализация мер социальной поддержки в части бесплатного изготовления и ремонта зубных протезов отдельным категориям граждан</t>
  </si>
  <si>
    <t>0320813400</t>
  </si>
  <si>
    <t>Реализация мер социальной поддержки в части бесплатного обеспечения слуховыми аппаратами отдельных категорий граждан</t>
  </si>
  <si>
    <t>0320813410</t>
  </si>
  <si>
    <t>Предоставление мер социальной поддержки больным туберкулезом</t>
  </si>
  <si>
    <t>0320813420</t>
  </si>
  <si>
    <t>Региональный проект "Финансовая поддержка семей при рождении детей"</t>
  </si>
  <si>
    <t>032P100000</t>
  </si>
  <si>
    <t>Ежемесячная денежная выплата, назначаемая в случае рождения третьего ребенка или последующих детей до достижения ребенком возраста трех лет</t>
  </si>
  <si>
    <t>032P150840</t>
  </si>
  <si>
    <t>Выполнение полномочий Российской Федерации по осуществлению ежемесячной выплаты в связи с рождением (усыновлением) первого ребенка</t>
  </si>
  <si>
    <t>032P155730</t>
  </si>
  <si>
    <t>032P1Д0840</t>
  </si>
  <si>
    <t>Региональный проект "Старшее поколение"</t>
  </si>
  <si>
    <t>032P300000</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</si>
  <si>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</si>
  <si>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032P354680</t>
  </si>
  <si>
    <t>Подпрограмма 3. "Оказание мер социальной поддержки детям-сиротам и детям, оставшимся без попечения родителей, лицам из их числа"</t>
  </si>
  <si>
    <t>0330000000</t>
  </si>
  <si>
    <t>Основное мероприятие 1. Социальная поддержка граждан, принявших на воспитание в семью детей-сирот и детей, оставшихся без попечения родителей</t>
  </si>
  <si>
    <t>0330100000</t>
  </si>
  <si>
    <t>0330100050</t>
  </si>
  <si>
    <t>Выплата регионального единовременного пособия при усыновлении (удочерении) ребенка, оставшегося без попечения родителей</t>
  </si>
  <si>
    <t>0330110260</t>
  </si>
  <si>
    <t>0330129990</t>
  </si>
  <si>
    <t>Выплата единовременного пособия при всех формах устройства детей, лишенных родительского попечения, в семью</t>
  </si>
  <si>
    <t>0330152600</t>
  </si>
  <si>
    <t>Субвенция на содержание ребенка в семье опекуна (попечителя) и приемной семье, а также вознаграждение, причитающееся приемному родителю</t>
  </si>
  <si>
    <t>0330175340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</si>
  <si>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</si>
  <si>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0330175520</t>
  </si>
  <si>
    <t>Основное мероприятие 2. Социальное обеспечение детей-сирот и детей, оставшихся без попечения родителей, лиц из их числа, проживающих в организациях, профилактика социального сиротства</t>
  </si>
  <si>
    <t>0330200000</t>
  </si>
  <si>
    <t>0330200050</t>
  </si>
  <si>
    <t>0330213240</t>
  </si>
  <si>
    <t>Субвенция на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</si>
  <si>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0330275240</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</si>
  <si>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</si>
  <si>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0330275350</t>
  </si>
  <si>
    <t>Основное мероприятие 3. Обеспечение детей-сирот и детей, оставшихся без попечения родителей, лиц из их числа жилыми помещениями специализированного жилищного фонда по договорам найма специализированных жилых помещений, в том числе на основании судебных решений об обеспечении граждан данной категории жилыми помещениями специализированного жилищного фонда по договорам найма специализированных жилых помещений</t>
  </si>
  <si>
    <t>0330300000</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</si>
  <si>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</si>
  <si>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0330375570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</si>
  <si>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</si>
  <si>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03303R0820</t>
  </si>
  <si>
    <t>Основное мероприятие 4. Предоставление дополнительных гарантий детям-сиротам и детям, оставшимся без попечения родителей, лицам из их числа, в части реализации жилищных прав</t>
  </si>
  <si>
    <t>0330400000</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</si>
  <si>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</si>
  <si>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0330475200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</si>
  <si>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</si>
  <si>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0330475210</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</si>
  <si>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</si>
  <si>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0330475250</t>
  </si>
  <si>
    <t>Подпрограмма 5. "Обеспечение реализации государственной программы"</t>
  </si>
  <si>
    <t>0350000000</t>
  </si>
  <si>
    <t>Основное мероприятие 1. Нормативно-правовое регулирование и реализация государственной политики в сфере социального развития, функций по оказанию государственных услуг</t>
  </si>
  <si>
    <t>0350100000</t>
  </si>
  <si>
    <t>0350100010</t>
  </si>
  <si>
    <t>0350100030</t>
  </si>
  <si>
    <t>0350100050</t>
  </si>
  <si>
    <t>0350113060</t>
  </si>
  <si>
    <t>0350113070</t>
  </si>
  <si>
    <t>Основное мероприятие 2. Внедрение современных информационно-коммуникационных технологий</t>
  </si>
  <si>
    <t>0350200000</t>
  </si>
  <si>
    <t>0350200030</t>
  </si>
  <si>
    <t>0350220100</t>
  </si>
  <si>
    <t>Государственная программа "Развитие физической культуры и спорта"</t>
  </si>
  <si>
    <t>0400000000</t>
  </si>
  <si>
    <t>Подпрограмма 1. "Развитие массового спорта"</t>
  </si>
  <si>
    <t>0410000000</t>
  </si>
  <si>
    <t>Основное мероприятие 1. Обеспечение организации и проведения физкультурных мероприятий и массовых спортивных мероприятий</t>
  </si>
  <si>
    <t>0410100000</t>
  </si>
  <si>
    <t>0410129990</t>
  </si>
  <si>
    <t>Основное мероприятие 2. Реализация мероприятий по пропаганде здорового образа жизни и вовлечению населения в занятия физической культурой и массовым спортом</t>
  </si>
  <si>
    <t>0410200000</t>
  </si>
  <si>
    <t>0410200050</t>
  </si>
  <si>
    <t>Региональный проект "Спорт-норма жизни"</t>
  </si>
  <si>
    <t>041P500000</t>
  </si>
  <si>
    <t>041P500050</t>
  </si>
  <si>
    <t>041P529990</t>
  </si>
  <si>
    <t>041P552280</t>
  </si>
  <si>
    <t>Реализация мероприятий по развитию физической культуры и спорта в Российской Федерации</t>
  </si>
  <si>
    <t>041P554950</t>
  </si>
  <si>
    <t>Подпрограмма 2. "Подготовка спортивного резерва"</t>
  </si>
  <si>
    <t>0420000000</t>
  </si>
  <si>
    <t>Основное мероприятие 1. Проведение спортивных мероприятий, материально-техническое обеспечение спортивных сборных команд Мурманской области</t>
  </si>
  <si>
    <t>0420100000</t>
  </si>
  <si>
    <t>0420100050</t>
  </si>
  <si>
    <t>0420129990</t>
  </si>
  <si>
    <t>0420160030</t>
  </si>
  <si>
    <t>Основное мероприятие 2. Реализация программ спортивной подготовки в сфере физической культуры и спорта подведомственными учреждениями</t>
  </si>
  <si>
    <t>0420200000</t>
  </si>
  <si>
    <t>0420200050</t>
  </si>
  <si>
    <t>0420213060</t>
  </si>
  <si>
    <t>0420213070</t>
  </si>
  <si>
    <t>Основное мероприятие 3. Обеспечение спортивного резерва инвентарем и оборудованием</t>
  </si>
  <si>
    <t>0420300000</t>
  </si>
  <si>
    <t>0420300050</t>
  </si>
  <si>
    <t>042P500000</t>
  </si>
  <si>
    <t>042P500050</t>
  </si>
  <si>
    <t>Адресная финансовая поддержка спортивных организаций, осуществляющих подготовку спортивного резерва для сборных команд Российской Федерации</t>
  </si>
  <si>
    <t>042P550810</t>
  </si>
  <si>
    <t>Приобретение спортивного оборудования и инвентаря для приведения организаций спортивной подготовки в нормативное состояние</t>
  </si>
  <si>
    <t>042P552290</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</si>
  <si>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</si>
  <si>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042P571170</t>
  </si>
  <si>
    <t>Подпрограмма 3. "Развитие спортивной инфраструктуры"</t>
  </si>
  <si>
    <t>0430000000</t>
  </si>
  <si>
    <t>Основное мероприятие 1. Строительство, реконструкция и модернизация спортивных объектов Мурманской области</t>
  </si>
  <si>
    <t>0430100000</t>
  </si>
  <si>
    <t>0430140010</t>
  </si>
  <si>
    <t>0430174000</t>
  </si>
  <si>
    <t>Софинансирование капитальных вложений в объекты государственной собственности субъектов Российской Федерации</t>
  </si>
  <si>
    <t>04301R1110</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</si>
  <si>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</si>
  <si>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0430200000</t>
  </si>
  <si>
    <t>0430200050</t>
  </si>
  <si>
    <t>0430260040</t>
  </si>
  <si>
    <t>Субсидия на софинансирование капитального ремонта объектов, находящихся в муниципальной собственности</t>
  </si>
  <si>
    <t>0430270640</t>
  </si>
  <si>
    <t>043P500000</t>
  </si>
  <si>
    <t>043P529990</t>
  </si>
  <si>
    <t>043P554950</t>
  </si>
  <si>
    <t>043P570640</t>
  </si>
  <si>
    <t>043P574000</t>
  </si>
  <si>
    <t>0440000000</t>
  </si>
  <si>
    <t>Основное мероприятие 1. Обеспечение реализации государственных функций и оказание государственных услуг в сфере физической культуры и спорта</t>
  </si>
  <si>
    <t>0440100000</t>
  </si>
  <si>
    <t>0440100010</t>
  </si>
  <si>
    <t>0440100030</t>
  </si>
  <si>
    <t>0440113060</t>
  </si>
  <si>
    <t>Государственная программа "Развитие культуры и сохранение культурного наследия региона"</t>
  </si>
  <si>
    <t>0500000000</t>
  </si>
  <si>
    <t>Подпрограмма 1. "Наследие"</t>
  </si>
  <si>
    <t>0510000000</t>
  </si>
  <si>
    <t>Основное мероприятие 2. Развитие библиотечного дела Мурманской области</t>
  </si>
  <si>
    <t>0510200000</t>
  </si>
  <si>
    <t>0510200050</t>
  </si>
  <si>
    <t>Основное мероприятие 3. Укрепление материально-технической базы, ремонт и реконструкция библиотек Мурманской области</t>
  </si>
  <si>
    <t>0510300000</t>
  </si>
  <si>
    <t>0510300050</t>
  </si>
  <si>
    <t>0510340010</t>
  </si>
  <si>
    <t>Основное мероприятие 4. Развитие музейного дела Мурманской области</t>
  </si>
  <si>
    <t>0510400000</t>
  </si>
  <si>
    <t>0510400050</t>
  </si>
  <si>
    <t>0510413240</t>
  </si>
  <si>
    <t>Основное мероприятие 5. Укрепление материально-технической базы, ремонт и реконструкция музеев Мурманской области</t>
  </si>
  <si>
    <t>0510500000</t>
  </si>
  <si>
    <t>0510500050</t>
  </si>
  <si>
    <t>0510529990</t>
  </si>
  <si>
    <t>05105R1110</t>
  </si>
  <si>
    <t>Основное мероприятие 6. Организация хранения, комплектования, учета и использования архивных документов</t>
  </si>
  <si>
    <t>0510600000</t>
  </si>
  <si>
    <t>0510600050</t>
  </si>
  <si>
    <t>0510613060</t>
  </si>
  <si>
    <t>Подпрограмма 2. "Искусство"</t>
  </si>
  <si>
    <t>0520000000</t>
  </si>
  <si>
    <t>Основное мероприятие 1. Развитие профессионального искусства Мурманской области</t>
  </si>
  <si>
    <t>0520100000</t>
  </si>
  <si>
    <t>0520100050</t>
  </si>
  <si>
    <t>Поддержка творческой деятельности и техническое оснащение детских и кукольных театров</t>
  </si>
  <si>
    <t>05201R5170</t>
  </si>
  <si>
    <t>Основное мероприятие 2. Укрепление материально-технической базы, ремонт и реконструкция театрально-зрелищных организаций Мурманской области</t>
  </si>
  <si>
    <t>0520200000</t>
  </si>
  <si>
    <t>0520200050</t>
  </si>
  <si>
    <t>0520229990</t>
  </si>
  <si>
    <t>0520240010</t>
  </si>
  <si>
    <t>Основное мероприятие 3. Развитие творческого потенциала и организация досуга населения Мурманской области</t>
  </si>
  <si>
    <t>0520300000</t>
  </si>
  <si>
    <t>0520300050</t>
  </si>
  <si>
    <t>0520360040</t>
  </si>
  <si>
    <t>Основное мероприятие 4. Укрепление материально-технической базы, ремонт и реконструкция культурно-досуговых учреждений Мурманской области</t>
  </si>
  <si>
    <t>0520400000</t>
  </si>
  <si>
    <t>0520400050</t>
  </si>
  <si>
    <t>0520429990</t>
  </si>
  <si>
    <t>0520440010</t>
  </si>
  <si>
    <t>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</si>
  <si>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0520471060</t>
  </si>
  <si>
    <t>Региональный проект "Культурная среда"</t>
  </si>
  <si>
    <t>052A100000</t>
  </si>
  <si>
    <t>Реновация учреждений отрасли культуры</t>
  </si>
  <si>
    <t>052A154550</t>
  </si>
  <si>
    <t>Подпрограмма 3. "Обеспечение реализации государственной программы"</t>
  </si>
  <si>
    <t>0530000000</t>
  </si>
  <si>
    <t>Основное мероприятие 1. Обеспечение реализации государственных функций и оказания государственных услуг в сфере культуры</t>
  </si>
  <si>
    <t>0530100000</t>
  </si>
  <si>
    <t>0530100010</t>
  </si>
  <si>
    <t>0530100030</t>
  </si>
  <si>
    <t>0530113060</t>
  </si>
  <si>
    <t>0530129990</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</si>
  <si>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</si>
  <si>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0530159500</t>
  </si>
  <si>
    <t>0530160040</t>
  </si>
  <si>
    <t>Поддержка отрасли культуры</t>
  </si>
  <si>
    <t>05301R5190</t>
  </si>
  <si>
    <t>Основное мероприятие 3. Реализация государственного задания и прочих мероприятий учреждений, обеспечивающих предоставление услуг (выполнение работ) в сфере культуры и искусства</t>
  </si>
  <si>
    <t>0530300000</t>
  </si>
  <si>
    <t>0530300050</t>
  </si>
  <si>
    <t>Подпрограмма 4. "Поддержка мероприятий в сфере культуры муниципальных образований Мурманской области"</t>
  </si>
  <si>
    <t>0540000000</t>
  </si>
  <si>
    <t>Основное мероприятие 1. Укрепление материально-технической базы, ремонт и реконструкция учреждений культуры, искусства и образования в сфере культуры и искусства муниципальных образований Мурманской области</t>
  </si>
  <si>
    <t>0540100000</t>
  </si>
  <si>
    <t>0540170640</t>
  </si>
  <si>
    <t>0540171060</t>
  </si>
  <si>
    <t>Субсидия на модернизацию региональных и муниципальных школ искусств по видам искусств</t>
  </si>
  <si>
    <t>0540173060</t>
  </si>
  <si>
    <t>0540174000</t>
  </si>
  <si>
    <t>Софинансирования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</si>
  <si>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05401R3060</t>
  </si>
  <si>
    <t>Обеспечение развития и укрепления материально-технической базы муниципальных домов культуры</t>
  </si>
  <si>
    <t>05401R4670</t>
  </si>
  <si>
    <t>Основное мероприятие 2. Реализация мероприятий, направленных на увековечение памяти погибших при защите Отечества</t>
  </si>
  <si>
    <t>0540200000</t>
  </si>
  <si>
    <t>Обустройство и восстановление воинских захоронений, находящихся в государственной собственности</t>
  </si>
  <si>
    <t>05402R2990</t>
  </si>
  <si>
    <t>054A100000</t>
  </si>
  <si>
    <t>Создание модельных муниципальных библиотек</t>
  </si>
  <si>
    <t>054A154540</t>
  </si>
  <si>
    <t>Региональный проект "Цифровая культура"</t>
  </si>
  <si>
    <t>054A300000</t>
  </si>
  <si>
    <t>Создание виртуальных концертных залов</t>
  </si>
  <si>
    <t>054A354530</t>
  </si>
  <si>
    <t>Государственная программа "Управление развитием регионального рынка труда"</t>
  </si>
  <si>
    <t>0600000000</t>
  </si>
  <si>
    <t>Подпрограмма 1. "Содействие занятости населения Мурманской области"</t>
  </si>
  <si>
    <t>0610000000</t>
  </si>
  <si>
    <t>Основное мероприятие 1. Реализация мер активной политики занятости населения</t>
  </si>
  <si>
    <t>0610100000</t>
  </si>
  <si>
    <t>0610100050</t>
  </si>
  <si>
    <t>0610113060</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</si>
  <si>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t>
  </si>
  <si>
    <t>0610152900</t>
  </si>
  <si>
    <t>Cоциальные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за счет средств резервного фонда Правительства Российской Федерации</t>
  </si>
  <si>
    <t>061015290F</t>
  </si>
  <si>
    <t>0610160040</t>
  </si>
  <si>
    <t>Региональный проект "Содействие занятости женщин – создание условий дошкольного образования для детей в возрасте до трех лет"</t>
  </si>
  <si>
    <t>061P200000</t>
  </si>
  <si>
    <t>Переобучение и повышение квалификации женщин в период отпуска по уходу за ребенком в возрасте до трех лет</t>
  </si>
  <si>
    <t>061P254610</t>
  </si>
  <si>
    <t>Подпрограмма 2. "Оказание содействия добровольному переселению в Мурманскую область соотечественников, проживающих за рубежом"</t>
  </si>
  <si>
    <t>0620000000</t>
  </si>
  <si>
    <t>Основное мероприятие 1. Содействие в приeме и обустройстве на территории вселения соотечественников, переселившихся в Мурманскую область</t>
  </si>
  <si>
    <t>0620100000</t>
  </si>
  <si>
    <t>0620100050</t>
  </si>
  <si>
    <t>Реализация мероприятий по оказанию содействия добровольному переселению в Российскую Федерацию соотечественников, проживающих за рубежом</t>
  </si>
  <si>
    <t>06201R0860</t>
  </si>
  <si>
    <t>Подпрограмма 3. "Обеспечение реализации Государственной программы"</t>
  </si>
  <si>
    <t>0630000000</t>
  </si>
  <si>
    <t>Основное мероприятие 1. Осуществление функций по реализации государственной политики в сфере социально–трудовых отношений и занятости населения</t>
  </si>
  <si>
    <t>0630100000</t>
  </si>
  <si>
    <t>0630100010</t>
  </si>
  <si>
    <t>0630100030</t>
  </si>
  <si>
    <t>0630113060</t>
  </si>
  <si>
    <t>0630120080</t>
  </si>
  <si>
    <t>0630152900</t>
  </si>
  <si>
    <t>Подпрограмма 4. "Улучшение условий и охраны труда в Мурманской области"</t>
  </si>
  <si>
    <t>0640000000</t>
  </si>
  <si>
    <t>Основное мероприятие 3. Содействие повышению качества обучения и эффективности работы аккредитованных организаций, проводящих обучение и проверку знаний требований охраны труда руководителей и специалистов</t>
  </si>
  <si>
    <t>0640300000</t>
  </si>
  <si>
    <t>0640320080</t>
  </si>
  <si>
    <t>Основное мероприятие 5. Проведение мероприятий, посвященных пропаганде обеспечения безопасных условий трудовой деятельности и охраны труда</t>
  </si>
  <si>
    <t>0640500000</t>
  </si>
  <si>
    <t>Мероприятия по охране труда в Мурманской области</t>
  </si>
  <si>
    <t>0640520050</t>
  </si>
  <si>
    <t>Подпрограмма 7. "Организация мероприятий по профессиональному обучению и дополнительному профессиональному образованию лиц предпенсионного возраста"</t>
  </si>
  <si>
    <t>0670000000</t>
  </si>
  <si>
    <t>067P300000</t>
  </si>
  <si>
    <t>Организация профессионального обучения и дополнительного профессионального образования лиц предпенсионного возраста</t>
  </si>
  <si>
    <t>067P352940</t>
  </si>
  <si>
    <t>Государственная программа "Обеспечение комфортной среды проживания населения региона"</t>
  </si>
  <si>
    <t>0700000000</t>
  </si>
  <si>
    <t>Подпрограмма 1. "Обеспечение доступным и комфортным жильем и жилищно-коммунальными услугами граждан Мурманской области"</t>
  </si>
  <si>
    <t>0710000000</t>
  </si>
  <si>
    <t>Основное мероприятие 1. Вовлечение в оборот и развитие инфраструктуры земельных участков, предназначенных для жилищного строительства</t>
  </si>
  <si>
    <t>0710100000</t>
  </si>
  <si>
    <t>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</si>
  <si>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0710170960</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</si>
  <si>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</si>
  <si>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0710171000</t>
  </si>
  <si>
    <t>Основное мероприятие 2. Создание условий для жилищного строительства</t>
  </si>
  <si>
    <t>0710200000</t>
  </si>
  <si>
    <t>0710229990</t>
  </si>
  <si>
    <t>Министерство градостроительства и благоустройства Мурманской области</t>
  </si>
  <si>
    <t>814</t>
  </si>
  <si>
    <t>0710240010</t>
  </si>
  <si>
    <t>Субсидия автономной некоммерческой организации "Фонд содействия жилищному строительству"</t>
  </si>
  <si>
    <t>0710260390</t>
  </si>
  <si>
    <t>Основное мероприятие 3. Содействие внедрению новых современных технологий в жилищное строительство и производство строительных материалов используемых в жилищном строительстве</t>
  </si>
  <si>
    <t>0710300000</t>
  </si>
  <si>
    <t>0710329990</t>
  </si>
  <si>
    <t>Основное мероприятие 4. Развитие систем водоснабжения и водоотведения</t>
  </si>
  <si>
    <t>0710400000</t>
  </si>
  <si>
    <t>0710440010</t>
  </si>
  <si>
    <t>Основное мероприятие 5. Переселение граждан из аварийного жилищного фонда</t>
  </si>
  <si>
    <t>0710500000</t>
  </si>
  <si>
    <t>Субсидия на устранение строительных недоделок, снижающих качество   жилых домов, построенных для переселения граждан из аварийного жилищного фонда</t>
  </si>
  <si>
    <t>0710571130</t>
  </si>
  <si>
    <t>Субсидия на ремонт пустующих жилых помещений муниципального жилищного фонда, для переселения граждан в рамках программы переселения из аварийного жилищного фонда</t>
  </si>
  <si>
    <t>0710571150</t>
  </si>
  <si>
    <t>Создание комфортных условий проживания коренных малочисленных народов Севера</t>
  </si>
  <si>
    <t>0710571180</t>
  </si>
  <si>
    <t>Субсидии муниципальным образованиям на снос аварийных расселеных  жилых домов</t>
  </si>
  <si>
    <t>0710571220</t>
  </si>
  <si>
    <t>Субсидия бюджетам муниципальных образований на софинансирование мероприятий по приобретению жилых помещений у застройщика в домах, введенных в эксплуатацию для переселения граждан  из многоквартирных домов, признанных аварийными и подлежащими сносу или реконструкции в разные годы, расположенные в границах одного элемента планировочной структуры (квартала, микрорайона) или смежных элементов планировочной структуры, переселение граждан из которых осуществляется без учёта первоочередного порядка переселения, за исключением многоквартирных домов, расселение которых предусмотрено региональной адресной программой "Переселение граждан из аварийного жилищного фонда в Мурманской области на 2019-2025 годы"</t>
  </si>
  <si>
    <t>0710571230</t>
  </si>
  <si>
    <t>Основное мероприятие 6. Оказание мер государственной поддержки по обеспечению жильем отдельных категорий граждан, установленных федеральным и региональным законодательством</t>
  </si>
  <si>
    <t>0710600000</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</si>
  <si>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</si>
  <si>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0710651350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</si>
  <si>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</si>
  <si>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0710651760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</si>
  <si>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</si>
  <si>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0710675620</t>
  </si>
  <si>
    <t>Основное мероприятие 7. Предоставление государственной поддержки на приобретение жилья молодым семьям</t>
  </si>
  <si>
    <t>0710700000</t>
  </si>
  <si>
    <t>0710729990</t>
  </si>
  <si>
    <t>Реализация мероприятий по обеспечению жильем молодых семей</t>
  </si>
  <si>
    <t>07107R4970</t>
  </si>
  <si>
    <t>Основное мероприятие 9. Обеспечение реализации региональной программы капитального ремонта общего имущества в многоквартирных домах, расположенных на территории Мурманской области</t>
  </si>
  <si>
    <t>0710900000</t>
  </si>
  <si>
    <t>Имущественный взнос на обеспечение осуществления деятельности специализированной некоммерческой организации "Фонд капитального ремонта общего имущества в многоквартирных домах в Мурманской области"</t>
  </si>
  <si>
    <t>0710960240</t>
  </si>
  <si>
    <t>Субсидии некоммерческой организации "Фонд капитального ремонта общего имущества в многоквартирных домах в Мурманской области</t>
  </si>
  <si>
    <t>0710960400</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</si>
  <si>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</si>
  <si>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0710970850</t>
  </si>
  <si>
    <t>Региональный проект "Жилье"</t>
  </si>
  <si>
    <t>071F100000</t>
  </si>
  <si>
    <t>071F170960</t>
  </si>
  <si>
    <t>Региональный проект "Обеспечение устойчивого сокращения непригодного для проживания жилищного фонда"</t>
  </si>
  <si>
    <t>071F300000</t>
  </si>
  <si>
    <t>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</si>
  <si>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071F367483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</si>
  <si>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</si>
  <si>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071F367484</t>
  </si>
  <si>
    <t>Региональный проект "Чистая вода"</t>
  </si>
  <si>
    <t>071G500000</t>
  </si>
  <si>
    <t>Строительство и реконструкция (модернизация) объектов питьевого водоснабжения</t>
  </si>
  <si>
    <t>071G552430</t>
  </si>
  <si>
    <t>Подпрограмма 2. "Обеспечение комплексного благоустройства территорий муниципальных образований Мурманской области"</t>
  </si>
  <si>
    <t>0720000000</t>
  </si>
  <si>
    <t>Основное мероприятие 1. Обустройство объектов внешнего благоустройства</t>
  </si>
  <si>
    <t>0720100000</t>
  </si>
  <si>
    <t>0720174000</t>
  </si>
  <si>
    <t>Основное мероприятие 3. Финансовое обеспечение исполнения городом Мурманском функций областного центра субъекта Российской Федерации - Мурманской области</t>
  </si>
  <si>
    <t>0720300000</t>
  </si>
  <si>
    <t>Субсидия бюджету муниципального образования г. Мурманск на осуществление городом Мурманском функций административного центра области</t>
  </si>
  <si>
    <t>0720370580</t>
  </si>
  <si>
    <t>Министерство транспорта и дорожного хозяйства Мурманской области</t>
  </si>
  <si>
    <t>806</t>
  </si>
  <si>
    <t>Подпрограмма 3. "Обеспечение выполнения государственных функций и оказания государственных услуг в строительстве, градостроительной и жилищной сферах, энергетики, энергосбережения и повышения энергетической эффективности, жилищных отношений и жилищно-коммунального хозяйства"</t>
  </si>
  <si>
    <t>0730000000</t>
  </si>
  <si>
    <t>Основное мероприятие 1. Обеспечение реализации государственных функций и оказания государственных услуг в строительстве, градостроительной и жилищной сферах</t>
  </si>
  <si>
    <t>0730100000</t>
  </si>
  <si>
    <t>0730100010</t>
  </si>
  <si>
    <t>0730100030</t>
  </si>
  <si>
    <t>0730100050</t>
  </si>
  <si>
    <t>0730113060</t>
  </si>
  <si>
    <t>0730120080</t>
  </si>
  <si>
    <t>Основное мероприятие 2. Обеспечение реализации государственных функций в сферах энергетики, энергосбережения и повышения энергетической эффективности, жилищных отношений и жилищно-коммунального хозяйства Мурманской области</t>
  </si>
  <si>
    <t>0730200000</t>
  </si>
  <si>
    <t>0730200010</t>
  </si>
  <si>
    <t>Министерство энергетики и жилищно-коммунального хозяйства Мурманской области</t>
  </si>
  <si>
    <t>813</t>
  </si>
  <si>
    <t>0730200030</t>
  </si>
  <si>
    <t>0730200050</t>
  </si>
  <si>
    <t>0730213060</t>
  </si>
  <si>
    <t>Подпрограмма 4. "Обеспечение осуществления государственного контроля (надзора) в жилищно-коммунальной сфере"</t>
  </si>
  <si>
    <t>0740000000</t>
  </si>
  <si>
    <t>Основное мероприятие 1. Организация и проведение проверок соблюдения органами государственной власти, органами местного самоуправления, а также юридическими лицами, индивидуальными предпринимателями и гражданами обязательных требований установленных жилищным законодательством, законодательством об энергосбережении и о повышении энергетической эффективности</t>
  </si>
  <si>
    <t>0740100000</t>
  </si>
  <si>
    <t>0740100010</t>
  </si>
  <si>
    <t>Государственная жилищная инспекция Мурманской области</t>
  </si>
  <si>
    <t>860</t>
  </si>
  <si>
    <t>0740100030</t>
  </si>
  <si>
    <t>0740113060</t>
  </si>
  <si>
    <t>Подпрограмма 5. "Обеспечение устойчивой деятельности топливно-энергетического комплекса Мурманской области и повышения энергетической эффективности"</t>
  </si>
  <si>
    <t>0750000000</t>
  </si>
  <si>
    <t>Основное мероприятие 1. Выполнение работ по разработке документов (программа комплексного развития систем коммунальной инфраструктуры муниципальных образований, схем), обеспечивающих строительство, реконструкцию объектов топливно-энергетического комплекса</t>
  </si>
  <si>
    <t>0750100000</t>
  </si>
  <si>
    <t>0750129990</t>
  </si>
  <si>
    <t>Основное мероприятие 2. Модернизация объектов теплоснабжения, электроснабжения</t>
  </si>
  <si>
    <t>0750200000</t>
  </si>
  <si>
    <t>0750274000</t>
  </si>
  <si>
    <t>Основное мероприятие 3. Компенсация недополученных доходов ресурсоснабжающим организациям</t>
  </si>
  <si>
    <t>0750300000</t>
  </si>
  <si>
    <t>Возмещение затрат (недополученных доходов) гарантирующим поставщикам электрической энергии, действующим на изолированных территориях и предоставляющим услугу электроснабжения</t>
  </si>
  <si>
    <t>0750360190</t>
  </si>
  <si>
    <t>Возмещение затрат (недополученных доходов) газоснабжающим организациям, поставляющим сжиженный газ для обеспечения коммунально-бытовых нужд населения по утвержденным розничным ценам</t>
  </si>
  <si>
    <t>0750360200</t>
  </si>
  <si>
    <t>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t>
  </si>
  <si>
    <t>0750360220</t>
  </si>
  <si>
    <t>Возмещение затрат (недополученных доходов) организациям, осуществляющим водоснабжение, водоотведение по установленным для населения тарифам</t>
  </si>
  <si>
    <t>0750360270</t>
  </si>
  <si>
    <t>Основное мероприятие 4. Обеспечение бесперебойного функционирования и повышения энергетической эффективности объектов и систем жизнеобеспечения муниципальных образований Мурманской области</t>
  </si>
  <si>
    <t>0750400000</t>
  </si>
  <si>
    <t>Субсидия на оказание государственной финансовой поддержки доставки нефтепродуктов и топлива в районы Мурманской области с ограниченными сроками завоза грузов</t>
  </si>
  <si>
    <t>0750470720</t>
  </si>
  <si>
    <t>Субсидия бюджетам муниципальных образований на подготовку к отопительному периоду</t>
  </si>
  <si>
    <t>0750470760</t>
  </si>
  <si>
    <t>Субсидии бюджетам муниципальных образований, предоставляемые в 2020 году в целях обеспечения надежности систем теплоснабжения</t>
  </si>
  <si>
    <t>0750471240</t>
  </si>
  <si>
    <t>Государственная программа "Обеспечение общественного порядка и безопасности населения региона"</t>
  </si>
  <si>
    <t>0800000000</t>
  </si>
  <si>
    <t>Подпрограмма 1. "Профилактика правонарушений"</t>
  </si>
  <si>
    <t>0810000000</t>
  </si>
  <si>
    <t>Основное мероприятие 1. Повышение уровня правовой культуры и информированности населения</t>
  </si>
  <si>
    <t>0810100000</t>
  </si>
  <si>
    <t>0810100050</t>
  </si>
  <si>
    <t>0810129990</t>
  </si>
  <si>
    <t>Основное мероприятие 2. Выявление и устранение причин и условий, способствующих безнадзорности, правонарушениям и антиобщественным действиям несовершеннолетних</t>
  </si>
  <si>
    <t>0810200000</t>
  </si>
  <si>
    <t>Субвенция на реализацию Закона Мурманской области "О комиссиях по делам несовершеннолетних и защите их прав в Мурманской области"</t>
  </si>
  <si>
    <t>0810275560</t>
  </si>
  <si>
    <t>Основное мероприятие 3. Разработка плана создания (развития) и создание аппаратно-программного комплекса «Безопасный город» на территории Мурманской области</t>
  </si>
  <si>
    <t>0810300000</t>
  </si>
  <si>
    <t>0810329990</t>
  </si>
  <si>
    <t>Основное мероприятие 5. Проведение комплекса мероприятий в области профилактики экстремизма и терроризма по выявлению и устранению факторов, способствующих распространению идеологии экстремизма и терроризма</t>
  </si>
  <si>
    <t>0810500000</t>
  </si>
  <si>
    <t>0810500050</t>
  </si>
  <si>
    <t>0810529990</t>
  </si>
  <si>
    <t>Министерство информационной политики Мурманской области</t>
  </si>
  <si>
    <t>817</t>
  </si>
  <si>
    <t>Основное мероприятие 6. Проведение комплекса мероприятий по содействию деятельности народных дружин, действующих на территории Мурманской области</t>
  </si>
  <si>
    <t>0810600000</t>
  </si>
  <si>
    <t>0810629990</t>
  </si>
  <si>
    <t>Подпрограмма 2. "Обеспечение пожарной безопасности"</t>
  </si>
  <si>
    <t>0820000000</t>
  </si>
  <si>
    <t>Основное мероприятие 1. Модернизация материально-технической базы подразделений Государственной противопожарной службы Мурманской области</t>
  </si>
  <si>
    <t>0820100000</t>
  </si>
  <si>
    <t>0820100050</t>
  </si>
  <si>
    <t>0820140010</t>
  </si>
  <si>
    <t>Основное мероприятие 2. Обеспечение реализации функций в области пожарной безопасности</t>
  </si>
  <si>
    <t>0820200000</t>
  </si>
  <si>
    <t>0820200050</t>
  </si>
  <si>
    <t>0820213060</t>
  </si>
  <si>
    <t>0820213070</t>
  </si>
  <si>
    <t>0820220080</t>
  </si>
  <si>
    <t>Основное мероприятие 3. Повышение качества рабочих мест и условий труда в подразделениях Государственной противопожарной службы Мурманской области</t>
  </si>
  <si>
    <t>0820300000</t>
  </si>
  <si>
    <t>0820300050</t>
  </si>
  <si>
    <t>Основное мероприятие 4. Реализация комплекса мероприятий, направленных на обеспечение охраны труда в подразделениях Государственной противопожарной службы Мурманской области</t>
  </si>
  <si>
    <t>0820400000</t>
  </si>
  <si>
    <t>0820400050</t>
  </si>
  <si>
    <t>0820420080</t>
  </si>
  <si>
    <t>Основное мероприятие 5. Совершенствование добровольной пожарной охраны</t>
  </si>
  <si>
    <t>0820500000</t>
  </si>
  <si>
    <t>0820529990</t>
  </si>
  <si>
    <t>Подпрограмма 3. "Обеспечение защиты населения и территорий от чрезвычайных ситуаций"</t>
  </si>
  <si>
    <t>0830000000</t>
  </si>
  <si>
    <t>Основное мероприятие 1. Поддержание в необходимой готовности сил и средств реагирования на угрозы возникновения чрезвычайных ситуаций</t>
  </si>
  <si>
    <t>0830100000</t>
  </si>
  <si>
    <t>0830100050</t>
  </si>
  <si>
    <t>0830120080</t>
  </si>
  <si>
    <t>Основное мероприятие 2. Обеспечение реализации функций в области гражданской обороны, предупреждения и ликвидации ЧС</t>
  </si>
  <si>
    <t>0830200000</t>
  </si>
  <si>
    <t>0830200050</t>
  </si>
  <si>
    <t>0830213060</t>
  </si>
  <si>
    <t>0830220080</t>
  </si>
  <si>
    <t>Основное мероприятие 3. Обеспечение информирования и оповещения населения об опасностях</t>
  </si>
  <si>
    <t>0830300000</t>
  </si>
  <si>
    <t>0830300050</t>
  </si>
  <si>
    <t>Основное мероприятие 4. Развитие системы мониторинга и прогнозирования чрезвычайных ситуаций природного и техногенного характера</t>
  </si>
  <si>
    <t>0830400000</t>
  </si>
  <si>
    <t>0830400050</t>
  </si>
  <si>
    <t>0830420080</t>
  </si>
  <si>
    <t>0840000000</t>
  </si>
  <si>
    <t>Основное мероприятие 1. Обеспечение реализации государственных функций в сфере обеспечения общественного порядка и безопасности населения региона</t>
  </si>
  <si>
    <t>0840100000</t>
  </si>
  <si>
    <t>0840100010</t>
  </si>
  <si>
    <t>0840100030</t>
  </si>
  <si>
    <t>0840113060</t>
  </si>
  <si>
    <t>0840120080</t>
  </si>
  <si>
    <t>0840129990</t>
  </si>
  <si>
    <t>Государственная программа "Охрана окружающей среды и воспроизводство природных ресурсов"</t>
  </si>
  <si>
    <t>0900000000</t>
  </si>
  <si>
    <t>Подпрограмма 1. "Обеспечение экологической безопасности"</t>
  </si>
  <si>
    <t>0910000000</t>
  </si>
  <si>
    <t>Основное мероприятие 1. Мониторинг атмосферного воздуха</t>
  </si>
  <si>
    <t>0910100000</t>
  </si>
  <si>
    <t>0910129990</t>
  </si>
  <si>
    <t>Министерство природных ресурсов и экологии Мурманской области</t>
  </si>
  <si>
    <t>811</t>
  </si>
  <si>
    <t>Основное мероприятие 2. Сохранение и развитие сети особо охраняемых природных территорий Мурманской области</t>
  </si>
  <si>
    <t>0910200000</t>
  </si>
  <si>
    <t>0910229990</t>
  </si>
  <si>
    <t>Основное мероприятие 3. Ведение Красной книги Мурманской области</t>
  </si>
  <si>
    <t>0910300000</t>
  </si>
  <si>
    <t>0910329990</t>
  </si>
  <si>
    <t>Основное мероприятие 4. Экологическое образование, воспитание, просвещение населения Мурманской области</t>
  </si>
  <si>
    <t>0910400000</t>
  </si>
  <si>
    <t>0910400050</t>
  </si>
  <si>
    <t>0910429990</t>
  </si>
  <si>
    <t>Подпрограмма 2. "Охрана, защита и воспроизводство лесов"</t>
  </si>
  <si>
    <t>0920000000</t>
  </si>
  <si>
    <t>Основное мероприятие 1. Обеспечение охраны лесов от пожаров</t>
  </si>
  <si>
    <t>0920100000</t>
  </si>
  <si>
    <t>Финансовое обеспечение осуществления полномочий Российской Федерации, переданных органам государственной власти субъектов Российской Федерации, осуществляемые дополнительно за счет средств областного бюджета</t>
  </si>
  <si>
    <t>0920100040</t>
  </si>
  <si>
    <t>0920100050</t>
  </si>
  <si>
    <t>0920113060</t>
  </si>
  <si>
    <t>Осуществление отдельных полномочий в области лесных отношений</t>
  </si>
  <si>
    <t>0920151290</t>
  </si>
  <si>
    <t>Основное мероприятие 2. Обеспечение защиты лесов от вредителей и болезней леса</t>
  </si>
  <si>
    <t>0920200000</t>
  </si>
  <si>
    <t>0920251290</t>
  </si>
  <si>
    <t>Основное мероприятие 3. Обеспечение воспроизводства лесов</t>
  </si>
  <si>
    <t>0920300000</t>
  </si>
  <si>
    <t>0920329990</t>
  </si>
  <si>
    <t>Основное мероприятие 4. Организация использования лесов, лесное планирование и регламентирование</t>
  </si>
  <si>
    <t>0920400000</t>
  </si>
  <si>
    <t>0920451290</t>
  </si>
  <si>
    <t>Региональный проект "Сохранение лесов"</t>
  </si>
  <si>
    <t>092GА00000</t>
  </si>
  <si>
    <t>Увеличение площади лесовосстановления</t>
  </si>
  <si>
    <t>092GА54290</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</si>
  <si>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</si>
  <si>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092GА54300</t>
  </si>
  <si>
    <t>Формирование запаса лесных семян для лесовосстановления</t>
  </si>
  <si>
    <t>092GА54310</t>
  </si>
  <si>
    <t>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</si>
  <si>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092GА54320</t>
  </si>
  <si>
    <t>Подпрограмма 3. "Охрана и рациональное использование природных ресурсов"</t>
  </si>
  <si>
    <t>0930000000</t>
  </si>
  <si>
    <t>Основное мероприятие 1. Экологическая реабилитация водных объектов</t>
  </si>
  <si>
    <t>0930100000</t>
  </si>
  <si>
    <t>Осуществление отдельных полномочий в области водных отношений</t>
  </si>
  <si>
    <t>0930151280</t>
  </si>
  <si>
    <t>Основное мероприятие 2. Предупреждение загрязнения и засорения водных объектов</t>
  </si>
  <si>
    <t>0930200000</t>
  </si>
  <si>
    <t>0930251280</t>
  </si>
  <si>
    <t>Основное мероприятие 4. Участие в системе наблюдений, оценки и прогноза изменений состояния водных объектов</t>
  </si>
  <si>
    <t>0930400000</t>
  </si>
  <si>
    <t>0930429990</t>
  </si>
  <si>
    <t>Основное мероприятие 7. Обеспечение учета состояния минерально-сырьевой базы общераспространенных полезных ископаемых</t>
  </si>
  <si>
    <t>0930700000</t>
  </si>
  <si>
    <t>0930729990</t>
  </si>
  <si>
    <t>0940000000</t>
  </si>
  <si>
    <t>Основное мероприятие 1. Обеспечение реализации государственных функций и предоставления государственных услуг в сферах охраны окружающей среды, воспроизводства и использования природных ресурсов</t>
  </si>
  <si>
    <t>0940100000</t>
  </si>
  <si>
    <t>0940100010</t>
  </si>
  <si>
    <t>0940100030</t>
  </si>
  <si>
    <t>0940100050</t>
  </si>
  <si>
    <t>0940113060</t>
  </si>
  <si>
    <t>0940151290</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</si>
  <si>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t>
  </si>
  <si>
    <t>0940159700</t>
  </si>
  <si>
    <t>Подпрограмма 5. "Обращение с отходами"</t>
  </si>
  <si>
    <t>0950000000</t>
  </si>
  <si>
    <t>Основное мероприятие 1. Инвентаризация накопленного экологического ущерба</t>
  </si>
  <si>
    <t>0950100000</t>
  </si>
  <si>
    <t>0950129990</t>
  </si>
  <si>
    <t>Основное мероприятие 2. Ликвидация накопленного экологического ущерба в результате прошлой хозяйственной деятельности</t>
  </si>
  <si>
    <t>0950200000</t>
  </si>
  <si>
    <t>Субсидия на реализацию мероприятий, направленных на ликвидацию накопленного экологического ущерба</t>
  </si>
  <si>
    <t>0950270810</t>
  </si>
  <si>
    <t>Основное мероприятие 4. Организация деятельности по обращению с отходами, в том числе твердыми коммунальными отходами</t>
  </si>
  <si>
    <t>0950400000</t>
  </si>
  <si>
    <t>0950429990</t>
  </si>
  <si>
    <t>Региональный проект "Чистая страна"</t>
  </si>
  <si>
    <t>095G100000</t>
  </si>
  <si>
    <t>Ликвидация несанкционированных свалок в границах городов и наиболее опасных объектов накопленного экологического вреда окружающей среде</t>
  </si>
  <si>
    <t>095G152420</t>
  </si>
  <si>
    <t>Подпрограмма 6. "Охрана и рациональное использование животного мира и развитие охотничьего хозяйства"</t>
  </si>
  <si>
    <t>0960000000</t>
  </si>
  <si>
    <t>Основное мероприятие 1. Организация рационального использования охотничьих угодий и охотничьих ресурсов</t>
  </si>
  <si>
    <t>0960100000</t>
  </si>
  <si>
    <t>0960129990</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</si>
  <si>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</si>
  <si>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0960159200</t>
  </si>
  <si>
    <t>Основное мероприятие 2. Обеспечение соблюдения установленных требований законодательства в сфере охоты и сохранения охотничьих ресурсов</t>
  </si>
  <si>
    <t>0960200000</t>
  </si>
  <si>
    <t>0960229990</t>
  </si>
  <si>
    <t>0960259700</t>
  </si>
  <si>
    <t>Государственная программа "Развитие рыбного и сельского хозяйства, регулирование рынков сельскохозяйственной продукции, сырья и продовольствия"</t>
  </si>
  <si>
    <t>1000000000</t>
  </si>
  <si>
    <t>Подпрограмма 1. "Развитие агропромышленного комплекса"</t>
  </si>
  <si>
    <t>1010000000</t>
  </si>
  <si>
    <t>Основное мероприятие 1. Модернизация производства в агропромышленном комплексе</t>
  </si>
  <si>
    <t>1010100000</t>
  </si>
  <si>
    <t>Субсидия производителям пищевой промышленности, осуществляющим производство "социального хлеба", в том числе в отдаленных районах, на создание, обновление и реконструкцию основных фондов</t>
  </si>
  <si>
    <t>1010160310</t>
  </si>
  <si>
    <t>Министерство инвестиций, развития предпринимательства и рыбного хозяйства Мурманской области</t>
  </si>
  <si>
    <t>833</t>
  </si>
  <si>
    <t>Субсидия предприятиям агропромышленного комплекса на техническую и технологическую модернизацию</t>
  </si>
  <si>
    <t>1010160320</t>
  </si>
  <si>
    <t>Основное мероприятие 2. Развитие растениеводства (кормопроизводства)</t>
  </si>
  <si>
    <t>1010200000</t>
  </si>
  <si>
    <t>Поддержка сельскохозяйственного производства по отдельным подотраслям растениеводства и животноводства</t>
  </si>
  <si>
    <t>10102R5080</t>
  </si>
  <si>
    <t>Основное мероприятие 3. Развитие животноводства, переработки и реализации продукции животноводства</t>
  </si>
  <si>
    <t>1010300000</t>
  </si>
  <si>
    <t>Субсидии на реализацию мероприятий в области животноводства за счет средств областного бюджета</t>
  </si>
  <si>
    <t>1010360360</t>
  </si>
  <si>
    <t>Субсидия на оказание финансовой помощи государственным областным унитарным предприятиям Мурманской области в целях предупреждения банкротства и восстановления платежеспособности</t>
  </si>
  <si>
    <t>1010360410</t>
  </si>
  <si>
    <t>Стимулирование развития приоритетных подотраслей агропромышленного комплекса и развитие малых форм хозяйствования</t>
  </si>
  <si>
    <t>10103R5020</t>
  </si>
  <si>
    <t>10103R5080</t>
  </si>
  <si>
    <t>Основное мероприятие 4. Поддержка малых форм хозяйствования</t>
  </si>
  <si>
    <t>1010400000</t>
  </si>
  <si>
    <t>Субсидии на поддержку малых форм хозяйствования</t>
  </si>
  <si>
    <t>1010460500</t>
  </si>
  <si>
    <t>10104R5020</t>
  </si>
  <si>
    <t>Региональный проект "Создание системы поддержки фермеров и развитие сельской кооперации"</t>
  </si>
  <si>
    <t>101I700000</t>
  </si>
  <si>
    <t>Создание системы поддержки фермеров и развитие сельской кооперации</t>
  </si>
  <si>
    <t>101I754800</t>
  </si>
  <si>
    <t>Субсидия автономной некоммерческой организации "Центр компетенций в сфере сельскохозяйственной кооперации и поддержки фермеров Мурманской области"</t>
  </si>
  <si>
    <t>101I760580</t>
  </si>
  <si>
    <t>Подпрограмма 2. "Комплексное развитие сельских территорий Мурманской области"</t>
  </si>
  <si>
    <t>1020000000</t>
  </si>
  <si>
    <t>Основное мероприятие 1. Улучшение жилищных условий граждан, проживающих в сельской местности</t>
  </si>
  <si>
    <t>1020100000</t>
  </si>
  <si>
    <t>Обеспечение комплексного развития сельских территорий</t>
  </si>
  <si>
    <t>10201R5760</t>
  </si>
  <si>
    <t>Основное мероприятие 2. Обустройство населенных пунктов в сельской местности объектами социальной и инженерной инфраструктуры</t>
  </si>
  <si>
    <t>1020200000</t>
  </si>
  <si>
    <t>10202R5760</t>
  </si>
  <si>
    <t>Подпрограмма 3. "Развитие государственной ветеринарной службы Мурманской области"</t>
  </si>
  <si>
    <t>1030000000</t>
  </si>
  <si>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</si>
  <si>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1030200000</t>
  </si>
  <si>
    <t>1030200050</t>
  </si>
  <si>
    <t>Комитет по ветеринарии Мурманской области</t>
  </si>
  <si>
    <t>826</t>
  </si>
  <si>
    <t>1030213060</t>
  </si>
  <si>
    <t>1030213240</t>
  </si>
  <si>
    <t>Основное мероприятие 3. Обеспечение надлежащего материально-технического и санитарного состояния объектов инфраструктуры ветеринарии</t>
  </si>
  <si>
    <t>1030300000</t>
  </si>
  <si>
    <t>1030300050</t>
  </si>
  <si>
    <t>Основное мероприятие 4. Обращение с животными без владельцев</t>
  </si>
  <si>
    <t>1030400000</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</si>
  <si>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</si>
  <si>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1030475590</t>
  </si>
  <si>
    <t>Подпрограмма 4. "Развитие рыбохозяйственного комплекса"</t>
  </si>
  <si>
    <t>1040000000</t>
  </si>
  <si>
    <t>Основное мероприятие 1. Организация рыболовства в прибрежной зоне и пресноводных объектах области</t>
  </si>
  <si>
    <t>1040100000</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</si>
  <si>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организации, регулирования и охраны водных биологических ресурсов</t>
  </si>
  <si>
    <t>1040159100</t>
  </si>
  <si>
    <t>Основное мероприятие 2. Оказание государственной поддержки предприятиям региона, осуществляющим береговую переработку водных биоресурсов</t>
  </si>
  <si>
    <t>1040200000</t>
  </si>
  <si>
    <t>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 переработке водных биоресурсов</t>
  </si>
  <si>
    <t>1040260340</t>
  </si>
  <si>
    <t>Основное мероприятие 5. Осуществление государственной поддержки субъектов аквакультуры</t>
  </si>
  <si>
    <t>1040500000</t>
  </si>
  <si>
    <t>10405R5080</t>
  </si>
  <si>
    <t>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</si>
  <si>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10405R5260</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</si>
  <si>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</si>
  <si>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1050000000</t>
  </si>
  <si>
    <t>Основное мероприятие 2. Обеспечение реализации государственных функций и оказания государственных услуг в сфере ветеринарии</t>
  </si>
  <si>
    <t>1050200000</t>
  </si>
  <si>
    <t>1050200010</t>
  </si>
  <si>
    <t>1050200030</t>
  </si>
  <si>
    <t>1050213060</t>
  </si>
  <si>
    <t>Государственная программа "Развитие транспортной системы"</t>
  </si>
  <si>
    <t>1200000000</t>
  </si>
  <si>
    <t>Подпрограмма 1. "Автомобильные дороги Мурманской области"</t>
  </si>
  <si>
    <t>1210000000</t>
  </si>
  <si>
    <t>Основное мероприятие 1. Строительство (реконструкция) автомобильных дорог общего пользования регионального (межмуниципального) значения</t>
  </si>
  <si>
    <t>1210100000</t>
  </si>
  <si>
    <t>Отдельные мероприятия, выполняемые за счет средств дорожного фонда</t>
  </si>
  <si>
    <t>1210149070</t>
  </si>
  <si>
    <t>Финансовое обеспечение дорожной деятельности</t>
  </si>
  <si>
    <t>1210153900</t>
  </si>
  <si>
    <t>Основное мероприятие 2. Капитальный ремонт, ремонт и содержание автомобильных дорог общего пользования регионального (межмуниципального значения)</t>
  </si>
  <si>
    <t>1210200000</t>
  </si>
  <si>
    <t>1210249070</t>
  </si>
  <si>
    <t>Основное мероприятие 3. Создание условий для реализации Программы в сфере дорожного хозяйства</t>
  </si>
  <si>
    <t>1210300000</t>
  </si>
  <si>
    <t>1210349070</t>
  </si>
  <si>
    <t>Основное мероприятие 4. Предоставление межбюджетных трансфертов бюджетам другого уровня</t>
  </si>
  <si>
    <t>1210400000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</si>
  <si>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</si>
  <si>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1210449100</t>
  </si>
  <si>
    <t>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</si>
  <si>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1210449110</t>
  </si>
  <si>
    <t>Субсидии на разработку проектной документации по строительству, реконструкции, ремонту и капитальному ремонту мостов и путепроводов, расположенных на автомобильных дорогах общего пользования местного значения за счет средств дорожного фонда</t>
  </si>
  <si>
    <t>1210449130</t>
  </si>
  <si>
    <t>Региональный проект "Дорожная сеть"</t>
  </si>
  <si>
    <t>121R100000</t>
  </si>
  <si>
    <t>Финансовое обеспечение дорожной деятельности в рамках реализации национального проекта "Безопасные и качественные автомобильные дороги"</t>
  </si>
  <si>
    <t>121R153930</t>
  </si>
  <si>
    <t>Региональный проект "Общесистемные меры развития дорожного хозяйства"</t>
  </si>
  <si>
    <t>121R200000</t>
  </si>
  <si>
    <t>Установка информационных табло в рамках контракта на принципах контракта жизненного цикла</t>
  </si>
  <si>
    <t>121R249040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</si>
  <si>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t>
  </si>
  <si>
    <t>121R249090</t>
  </si>
  <si>
    <t>Подпрограмма 2. "Организация транспортного обслуживания населения на территории Мурманской области"</t>
  </si>
  <si>
    <t>1220000000</t>
  </si>
  <si>
    <t>Основное мероприятие 1. Обеспечение потребностей населения в железнодорожных пригородных перевозках</t>
  </si>
  <si>
    <t>1220100000</t>
  </si>
  <si>
    <t>Возмещение затрат в связи с организацией пассажирских перевозок железнодорожным транспортом пригородного сообщения на территории Мурманской области</t>
  </si>
  <si>
    <t>1220160530</t>
  </si>
  <si>
    <t>Возмещение разницы в стоимости полного и льготного разового проездного билета при предоставлении отдельным категориям граждан льгот на проезд железнодорожным транспортом пригородного сообщения</t>
  </si>
  <si>
    <t>1220163710</t>
  </si>
  <si>
    <t>Компенсация части потерь в доходах организаций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 (за счет средств областного бюджета)</t>
  </si>
  <si>
    <t>1220163720</t>
  </si>
  <si>
    <t>Основное мероприятие 2. Обеспечение потребностей населения в перевозках автомобильным транспортом общего пользования</t>
  </si>
  <si>
    <t>1220200000</t>
  </si>
  <si>
    <t>1220229990</t>
  </si>
  <si>
    <t>Предоставление субсидии на возмещение недополученных доходов транспортным организациям, осуществляющим регулярные пассажирские перевозки по регулируемым тарифам, не обеспечивающим возмещение понесенных затрат</t>
  </si>
  <si>
    <t>1220260280</t>
  </si>
  <si>
    <t>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 в части пригородных межмуниципальных перевозок</t>
  </si>
  <si>
    <t>1220263700</t>
  </si>
  <si>
    <t>Предоставление субсидий предприятиям электро- и автомобильного транспорта общего пользования городского и пригородного сообщения на компенсацию разницы стоимости полного и льготного единого социального проездного билета в целях обеспечения равной доступности услуг общественного транспорта  для отдельных категорий  граждан</t>
  </si>
  <si>
    <t>1220263730</t>
  </si>
  <si>
    <t>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</si>
  <si>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1220276600</t>
  </si>
  <si>
    <t>Основное мероприятие 3. Транспортное обеспечение жителей Мурманской области</t>
  </si>
  <si>
    <t>1220300000</t>
  </si>
  <si>
    <t>Обеспечение перевозок пассажиров, грузов и багажа морским транспортом</t>
  </si>
  <si>
    <t>1220360540</t>
  </si>
  <si>
    <t>Субсидия на оказание государственной финансовой поддержки доставки продовольственных товаров (за исключением подакцизных) в районы Мурманской области с ограниченными сроками завоза грузов</t>
  </si>
  <si>
    <t>1220370900</t>
  </si>
  <si>
    <t>Субсидия на обеспечение авиационного обслуживания жителей отдаленных поселений</t>
  </si>
  <si>
    <t>1220370910</t>
  </si>
  <si>
    <t>Основное мероприятие 4. Развитие региональных воздушных перевозок</t>
  </si>
  <si>
    <t>1220400000</t>
  </si>
  <si>
    <t>1220429990</t>
  </si>
  <si>
    <t>Подпрограмма 3. "Безопасность дорожного движения и снижение дорожно-транспортного травматизма в Мурманской области"</t>
  </si>
  <si>
    <t>1230000000</t>
  </si>
  <si>
    <t>Основное мероприятие 2. Развитие системы предупреждения опасного поведения участников дорожного движения</t>
  </si>
  <si>
    <t>1230200000</t>
  </si>
  <si>
    <t>1230200050</t>
  </si>
  <si>
    <t>1230229990</t>
  </si>
  <si>
    <t>1230249070</t>
  </si>
  <si>
    <t>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t>
  </si>
  <si>
    <t>1230249120</t>
  </si>
  <si>
    <t>Основное мероприятие 3. Развитие системы оказания помощи пострадавшим в дорожно-транспортных происшествиях</t>
  </si>
  <si>
    <t>1230300000</t>
  </si>
  <si>
    <t>1230300050</t>
  </si>
  <si>
    <t>Региональный проект "Безопасность дорожного движения в Мурманской области"</t>
  </si>
  <si>
    <t>123R300000</t>
  </si>
  <si>
    <t>Профилактика дорожно-транспортного травматизма, включая развитие детско-юношеских автошкол, отрядов юных инспекторов движения и пр.</t>
  </si>
  <si>
    <t>123R300180</t>
  </si>
  <si>
    <t>1240000000</t>
  </si>
  <si>
    <t>Основное мероприятие 1. Обеспечение реализации функций в сфере развития транспорта</t>
  </si>
  <si>
    <t>1240100000</t>
  </si>
  <si>
    <t>1240100010</t>
  </si>
  <si>
    <t>1240100030</t>
  </si>
  <si>
    <t>1240113060</t>
  </si>
  <si>
    <t>1240160040</t>
  </si>
  <si>
    <t>Основное мероприятие 2. Обеспечение реализации функций в сфере развития дорожного хозяйства</t>
  </si>
  <si>
    <t>1240200000</t>
  </si>
  <si>
    <t>1240200050</t>
  </si>
  <si>
    <t>Расходы на обеспечение деятельности подведомственных учреждений за счет средств дорожного фонда</t>
  </si>
  <si>
    <t>1240249050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</si>
  <si>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за счет средств дорожного фонда</t>
  </si>
  <si>
    <t>1240249060</t>
  </si>
  <si>
    <t>Основное мероприятие 3. Оказание услуг в сфере дорожного хозяйства</t>
  </si>
  <si>
    <t>1240300000</t>
  </si>
  <si>
    <t>1240349050</t>
  </si>
  <si>
    <t>Государственная программа "Развитие экономического потенциала и формирование благоприятного предпринимательского климата"</t>
  </si>
  <si>
    <t>1400000000</t>
  </si>
  <si>
    <t>Подпрограмма 1. "Формирование благоприятной инвестиционной среды"</t>
  </si>
  <si>
    <t>1410000000</t>
  </si>
  <si>
    <t>Основное мероприятие 1. Разработка, реализация и сопровождение инвестиционных программ и проектов</t>
  </si>
  <si>
    <t>1410100000</t>
  </si>
  <si>
    <t>Взнос в уставный капитал акционерного общества "Корпорация развития Мурманской области"</t>
  </si>
  <si>
    <t>1410167040</t>
  </si>
  <si>
    <t>Министерство имущественных отношений Мурманской области</t>
  </si>
  <si>
    <t>810</t>
  </si>
  <si>
    <t>Основное мероприятие 3. Стимулирование повышения инвестиционной привлекательности территории региона</t>
  </si>
  <si>
    <t>1410300000</t>
  </si>
  <si>
    <t>1410329990</t>
  </si>
  <si>
    <t>Комитет по конкурентной политике Мурманской области</t>
  </si>
  <si>
    <t>845</t>
  </si>
  <si>
    <t>Подпрограмма 2. "Поддержка малого и среднего предпринимательства"</t>
  </si>
  <si>
    <t>1420000000</t>
  </si>
  <si>
    <t>Основное мероприятие 1. Оказание финансовой поддержки субъектам малого и среднего предпринимательства</t>
  </si>
  <si>
    <t>1420100000</t>
  </si>
  <si>
    <t>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t>
  </si>
  <si>
    <t>1420158310</t>
  </si>
  <si>
    <t>Развитие малого и среднего предпринимательства, стимулирование инноваций в Мурманской области</t>
  </si>
  <si>
    <t>1420160120</t>
  </si>
  <si>
    <t>Основное мероприятие 2. Создание и развитие объектов инфраструктуры поддержки малого и среднего предпринимательства</t>
  </si>
  <si>
    <t>1420200000</t>
  </si>
  <si>
    <t>1420200050</t>
  </si>
  <si>
    <t>Субсидия автономной некоммерческой организации по развитию конгрессно-выставочной деятельности "Мурманконгресс"</t>
  </si>
  <si>
    <t>1420260290</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</si>
  <si>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</si>
  <si>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1420300000</t>
  </si>
  <si>
    <t>1420329990</t>
  </si>
  <si>
    <t>1420360120</t>
  </si>
  <si>
    <t>Министерство цифрового развития Мурманской области</t>
  </si>
  <si>
    <t>831</t>
  </si>
  <si>
    <t>Подготовка управленческих кадров для организаций народного хозяйства Российской Федерации</t>
  </si>
  <si>
    <t>14203R0660</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</si>
  <si>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</si>
  <si>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1420400000</t>
  </si>
  <si>
    <t>1420400050</t>
  </si>
  <si>
    <t>1420429990</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</si>
  <si>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</si>
  <si>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142I400000</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</si>
  <si>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</si>
  <si>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142I455270</t>
  </si>
  <si>
    <t>Государственная поддержка малого и среднего предпринимательства в субъектах Российской Федерации</t>
  </si>
  <si>
    <t>142I45527F</t>
  </si>
  <si>
    <t>Региональный проект "Акселерация субъектов малого и среднего предпринимательства"</t>
  </si>
  <si>
    <t>142I500000</t>
  </si>
  <si>
    <t>142I555270</t>
  </si>
  <si>
    <t>Министерство экономического развития Мурманской области</t>
  </si>
  <si>
    <t>809</t>
  </si>
  <si>
    <t>Региональный проект "Популяризация предпринимательства"</t>
  </si>
  <si>
    <t>142I800000</t>
  </si>
  <si>
    <t>142I855270</t>
  </si>
  <si>
    <t>Подпрограмма 3. "Развитие промышленности, инновационной и научно-технической деятельности"</t>
  </si>
  <si>
    <t>1430000000</t>
  </si>
  <si>
    <t>Основное мероприятие 3. Оказание финансовой поддержки инновационным компаниям</t>
  </si>
  <si>
    <t>1430300000</t>
  </si>
  <si>
    <t>1430360120</t>
  </si>
  <si>
    <t>Основное мероприятие 4. Организация поддержки научных мероприятий, исследований и разработок в Мурманской области</t>
  </si>
  <si>
    <t>1430400000</t>
  </si>
  <si>
    <t>1430429990</t>
  </si>
  <si>
    <t>Субсидия автономной некоммерческой организации "Проектный офис Заполярного Арктического научно-образовательного центра Мурманской области"</t>
  </si>
  <si>
    <t>1430460380</t>
  </si>
  <si>
    <t>Подпрограмма 4. "Развитие внешнеэкономических связей, туризма и торговой деятельности в регионе"</t>
  </si>
  <si>
    <t>1440000000</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</si>
  <si>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</si>
  <si>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1440100000</t>
  </si>
  <si>
    <t>1440129990</t>
  </si>
  <si>
    <t>1440160290</t>
  </si>
  <si>
    <t>Основное мероприятие 4. Продвижение Мурманской области как привлекательного для туристов региона</t>
  </si>
  <si>
    <t>1440400000</t>
  </si>
  <si>
    <t>1440429990</t>
  </si>
  <si>
    <t>Комитет по туризму Мурманской области</t>
  </si>
  <si>
    <t>834</t>
  </si>
  <si>
    <t>1440460290</t>
  </si>
  <si>
    <t>Основное мероприятие 5. Государственная поддержка субъектов туриндустрии</t>
  </si>
  <si>
    <t>1440500000</t>
  </si>
  <si>
    <t>1440529990</t>
  </si>
  <si>
    <t>Развитие внешнеэкономических связей и туризма в Мурманской области</t>
  </si>
  <si>
    <t>1440560100</t>
  </si>
  <si>
    <t>Основное мероприятие 6. Формирование туристско-рекреационного кластера</t>
  </si>
  <si>
    <t>1440600000</t>
  </si>
  <si>
    <t>1440674000</t>
  </si>
  <si>
    <t>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</si>
  <si>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14406R3840</t>
  </si>
  <si>
    <t>Основное мероприятие 8. Обеспечение формирования и ведения торгового реестра Мурманской области</t>
  </si>
  <si>
    <t>1440800000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</si>
  <si>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</si>
  <si>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1440875510</t>
  </si>
  <si>
    <t>Подпрограмма 5. "Совершенствование системы государственного стратегического управления"</t>
  </si>
  <si>
    <t>1450000000</t>
  </si>
  <si>
    <t>Основное мероприятие 9. Организация мониторинга эффективности деятельности органов местного самоуправления</t>
  </si>
  <si>
    <t>1450900000</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</si>
  <si>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</si>
  <si>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1450977070</t>
  </si>
  <si>
    <t>Основное мероприятие 10. Анализ удовлетворенности населения деятельностью органов местного самоуправления</t>
  </si>
  <si>
    <t>1451000000</t>
  </si>
  <si>
    <t>1451029990</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</si>
  <si>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</si>
  <si>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1451100000</t>
  </si>
  <si>
    <t>1451129990</t>
  </si>
  <si>
    <t>Основное мероприятие 12. Реализация мер, направленных на обеспечение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</si>
  <si>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1451200000</t>
  </si>
  <si>
    <t>1451260030</t>
  </si>
  <si>
    <t>Подпрограмма 6. "Осуществление государственного регулирования цен (тарифов) на территории Мурманской области"</t>
  </si>
  <si>
    <t>1460000000</t>
  </si>
  <si>
    <t>Основное мероприятие 3. Обеспечение реализации функций в сфере тарифного регулирования на территории Мурманской области</t>
  </si>
  <si>
    <t>1460300000</t>
  </si>
  <si>
    <t>1460300010</t>
  </si>
  <si>
    <t>Комитет по тарифному регулированию Мурманской области</t>
  </si>
  <si>
    <t>824</t>
  </si>
  <si>
    <t>1460300030</t>
  </si>
  <si>
    <t>1460313060</t>
  </si>
  <si>
    <t>1460320080</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</si>
  <si>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</si>
  <si>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1460375610</t>
  </si>
  <si>
    <t>Подпрограмма 7. "Обеспечение реализации государственной программы"</t>
  </si>
  <si>
    <t>1470000000</t>
  </si>
  <si>
    <t>Основное мероприятие 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</si>
  <si>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1470100000</t>
  </si>
  <si>
    <t>1470100010</t>
  </si>
  <si>
    <t>1470100030</t>
  </si>
  <si>
    <t>1470113060</t>
  </si>
  <si>
    <t>1470120100</t>
  </si>
  <si>
    <t>Проведение Всероссийской переписи населения 2020 года</t>
  </si>
  <si>
    <t>1470154690</t>
  </si>
  <si>
    <t>Основное мероприятие 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</si>
  <si>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1470200000</t>
  </si>
  <si>
    <t>1470200010</t>
  </si>
  <si>
    <t>1470200030</t>
  </si>
  <si>
    <t>1470213060</t>
  </si>
  <si>
    <t>1470220080</t>
  </si>
  <si>
    <t>Государственная программа "Информационное общество"</t>
  </si>
  <si>
    <t>1500000000</t>
  </si>
  <si>
    <t>Подпрограмма 1. "Развитие информационного общества и формирование электронного правительства"</t>
  </si>
  <si>
    <t>1510000000</t>
  </si>
  <si>
    <t>Основное мероприятие 1. 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t>
  </si>
  <si>
    <t>1510100000</t>
  </si>
  <si>
    <t>1510120100</t>
  </si>
  <si>
    <t>Основное мероприятие 2. Обеспечение комплексной защиты информации в информационно-вычислительной сети исполнительных органов государственной власти Мурманской области</t>
  </si>
  <si>
    <t>1510200000</t>
  </si>
  <si>
    <t>1510220100</t>
  </si>
  <si>
    <t>Основное мероприятие 3. Развитие инфокоммуникационных компонентов электронного правительства</t>
  </si>
  <si>
    <t>1510300000</t>
  </si>
  <si>
    <t>1510320100</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</si>
  <si>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</si>
  <si>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1510359300</t>
  </si>
  <si>
    <t>Министерство юстиции Мурманской области</t>
  </si>
  <si>
    <t>821</t>
  </si>
  <si>
    <t>Субсидия на техническое сопровождение программного обеспечения "Система автоматизированного рабочего места муниципального образования"</t>
  </si>
  <si>
    <t>1510370570</t>
  </si>
  <si>
    <t>Поддержка региональных проектов в сфере информационных технологий</t>
  </si>
  <si>
    <t>15103R0280</t>
  </si>
  <si>
    <t>Основное мероприятие 4. Организация предоставления государственных и муниципальных услуг по принципу "одного окна"</t>
  </si>
  <si>
    <t>1510400000</t>
  </si>
  <si>
    <t>1510429990</t>
  </si>
  <si>
    <t>Основное мероприятие 5. Обеспечение предоставления  государственных  и муниципальных услуг в ГОБУ "МФЦ МО"</t>
  </si>
  <si>
    <t>1510500000</t>
  </si>
  <si>
    <t>1510500050</t>
  </si>
  <si>
    <t>1510513060</t>
  </si>
  <si>
    <t>Основное мероприятие 7. Обеспечение реализации государственных функций и предоставления государственных услуг в сфере информационно-телекоммуникационных технологий</t>
  </si>
  <si>
    <t>1510700000</t>
  </si>
  <si>
    <t>1510700010</t>
  </si>
  <si>
    <t>1510700030</t>
  </si>
  <si>
    <t>1510700050</t>
  </si>
  <si>
    <t>1510713060</t>
  </si>
  <si>
    <t>1510720100</t>
  </si>
  <si>
    <t>Основное мероприятие 8.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t>
  </si>
  <si>
    <t>1510800000</t>
  </si>
  <si>
    <t>1510800010</t>
  </si>
  <si>
    <t>1510800030</t>
  </si>
  <si>
    <t>1510813060</t>
  </si>
  <si>
    <t>1510829990</t>
  </si>
  <si>
    <t>1510860040</t>
  </si>
  <si>
    <t>Закупка работ (услуг) по информационному освещению деятельности органов государственной власти и поддержку средств массовой информации</t>
  </si>
  <si>
    <t>1510898700</t>
  </si>
  <si>
    <t>Предоставление субсидий на финансовое обеспечение выполнения государственного задания</t>
  </si>
  <si>
    <t>1510898750</t>
  </si>
  <si>
    <t>1510898760</t>
  </si>
  <si>
    <t>Основное мероприятие 9. Цифровизация городского хозяйства</t>
  </si>
  <si>
    <t>1510900000</t>
  </si>
  <si>
    <t>1510920100</t>
  </si>
  <si>
    <t>Региональный проект "Информационная инфраструктура"</t>
  </si>
  <si>
    <t>151D200000</t>
  </si>
  <si>
    <t>Обеспечение подключения к сети Интернет органов государственной власти, органов местного самоуправления и социально значимых объектов государственной и муниципальной форм собственности</t>
  </si>
  <si>
    <t>151D220120</t>
  </si>
  <si>
    <t>Региональный проект "Информационная безопасность"</t>
  </si>
  <si>
    <t>151D400000</t>
  </si>
  <si>
    <t>Обеспечение информационной безопасности объектов критической информационной инфраструктуры органов государственной власти и органов местного самоуправления Мурманской области</t>
  </si>
  <si>
    <t>151D420130</t>
  </si>
  <si>
    <t>Региональный проект "Цифровое государственное управление"</t>
  </si>
  <si>
    <t>151D600000</t>
  </si>
  <si>
    <t>Предоставление государственных и муниципальных услуг в Мурманской области в электронном виде, в том числе в соответствии с целевой моделью цифровой трансформации</t>
  </si>
  <si>
    <t>151D622230</t>
  </si>
  <si>
    <t>Использование юридически значимого электронного документооборота в органах государственной власти Мурманской области, их подведомственных организациях и органах местного самоуправления</t>
  </si>
  <si>
    <t>151D622240</t>
  </si>
  <si>
    <t>Предоставление доступа гражданам посредством сети Интернет к информации, созданной органами государственной власти Мурманской области, органами местного самоуправления, включая доработку интерфейсов сайтов в соответствии с требованиями стандарта визуально-графического оформления</t>
  </si>
  <si>
    <t>151D622250</t>
  </si>
  <si>
    <t>Использование регионального сегмента СМЭВ</t>
  </si>
  <si>
    <t>151D622260</t>
  </si>
  <si>
    <t>Обеспечение развития системы межведомственного электронного взаимодействия на территории Мурманской области</t>
  </si>
  <si>
    <t>151D650080</t>
  </si>
  <si>
    <t>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</si>
  <si>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1520000000</t>
  </si>
  <si>
    <t>Основное мероприятие 2. Обеспечение развития геоинформационного портала Правительства Мурманской области</t>
  </si>
  <si>
    <t>1520200000</t>
  </si>
  <si>
    <t>1520220100</t>
  </si>
  <si>
    <t>Государственная программа "Управление региональными финансами, создание условий для эффективного и ответственного управления муниципальными финансами"</t>
  </si>
  <si>
    <t>1600000000</t>
  </si>
  <si>
    <t>Подпрограмма 1. "Управление региональными финансами"</t>
  </si>
  <si>
    <t>1610000000</t>
  </si>
  <si>
    <t>Основное мероприятие 1. Нормативно-методическое обеспечение и организация бюджетного процесса в Мурманской области</t>
  </si>
  <si>
    <t>1610100000</t>
  </si>
  <si>
    <t>1610100010</t>
  </si>
  <si>
    <t>Министерство финансов Мурманской области</t>
  </si>
  <si>
    <t>808</t>
  </si>
  <si>
    <t>1610100030</t>
  </si>
  <si>
    <t>1610113060</t>
  </si>
  <si>
    <t>1610113070</t>
  </si>
  <si>
    <t>1610120080</t>
  </si>
  <si>
    <t>1610129990</t>
  </si>
  <si>
    <t>Основное мероприятие 2. Повышение прозрачности бюджетов и открытости бюджетного процесса, публикация актуальной информации о бюджетной системе Мурманской области, в том числе в доступной для граждан форме</t>
  </si>
  <si>
    <t>1610200000</t>
  </si>
  <si>
    <t>1610229990</t>
  </si>
  <si>
    <t>Основное мероприятие 3. Повышение гибкости долговой политики Мурманской области, поддержание высокого уровня региональных кредитных рейтингов</t>
  </si>
  <si>
    <t>1610300000</t>
  </si>
  <si>
    <t>Процентные платежи по государственному долгу Мурманской области</t>
  </si>
  <si>
    <t>1610320030</t>
  </si>
  <si>
    <t>1610329990</t>
  </si>
  <si>
    <t>Основное мероприятие 4. Сопровождение и развитие информационно-технологической инфраструктуры в сфере управления общественными финансами</t>
  </si>
  <si>
    <t>1610400000</t>
  </si>
  <si>
    <t>1610420100</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</si>
  <si>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</si>
  <si>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1620000000</t>
  </si>
  <si>
    <t>Основное мероприятие 2. Выравнивание бюджетной обеспеченности муниципальных образований</t>
  </si>
  <si>
    <t>1620200000</t>
  </si>
  <si>
    <t>Дотации, связанные с особым режимом безопасного функционирования закрытых административно-территориальных образований</t>
  </si>
  <si>
    <t>1620250100</t>
  </si>
  <si>
    <t>Дотации на выравнивание бюджетной обеспеченности муниципальных районов (городских округов)</t>
  </si>
  <si>
    <t>1620270020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</si>
  <si>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</si>
  <si>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1620270530</t>
  </si>
  <si>
    <t>Субвенции бюджетам муниципальных районов на  осуществление органами местного самоуправления государственных полномочий органов государственной власти Мурманской области по расчету и предоставлению дотаций бюджетам поселений</t>
  </si>
  <si>
    <t>1620275010</t>
  </si>
  <si>
    <t>Основное мероприятие 3. Поддержка мер по обеспечению сбалансированности местных бюджетов</t>
  </si>
  <si>
    <t>1620300000</t>
  </si>
  <si>
    <t>Дотации на поддержку мер по обеспечению сбалансированности бюджетов</t>
  </si>
  <si>
    <t>1620370030</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</si>
  <si>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</si>
  <si>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1620371100</t>
  </si>
  <si>
    <t>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t>
  </si>
  <si>
    <t>1620377030</t>
  </si>
  <si>
    <t>Подпрограмма 3. "Организация и осуществление контроля и надзора в бюджетно-финансовой сфере"</t>
  </si>
  <si>
    <t>1630000000</t>
  </si>
  <si>
    <t>Основное мероприятие 1. Осуществление внутреннего государственного финансового контроля</t>
  </si>
  <si>
    <t>1630100000</t>
  </si>
  <si>
    <t>1630100010</t>
  </si>
  <si>
    <t>Комитет государственного и финансового контроля Мурманской области</t>
  </si>
  <si>
    <t>830</t>
  </si>
  <si>
    <t>1630100030</t>
  </si>
  <si>
    <t>1630113060</t>
  </si>
  <si>
    <t>1630120080</t>
  </si>
  <si>
    <t>Подпрограмма 4. "Развитие системы управления государственными закупками Мурманской области"</t>
  </si>
  <si>
    <t>1640000000</t>
  </si>
  <si>
    <t>Основное мероприятие 1. Совершенствование организации деятельности заказчиков в сфере закупок товаров, работ, услуг для обеспечения государственных нужд</t>
  </si>
  <si>
    <t>1640100000</t>
  </si>
  <si>
    <t>1640100010</t>
  </si>
  <si>
    <t>1640100030</t>
  </si>
  <si>
    <t>1640113060</t>
  </si>
  <si>
    <t>Основное мероприятие 2. Обеспечение единого информационного пространства для заказчиков в сфере закупок</t>
  </si>
  <si>
    <t>1640200000</t>
  </si>
  <si>
    <t>1640220100</t>
  </si>
  <si>
    <t>Основное мероприятие 3. Совершенствование организации деятельности заказчиков в сфере закупок товаров, работ, услуг отдельными видами юридических лиц</t>
  </si>
  <si>
    <t>1640300000</t>
  </si>
  <si>
    <t>1640300050</t>
  </si>
  <si>
    <t>1640313060</t>
  </si>
  <si>
    <t>Государственная программа "Государственное управление и гражданское общество"</t>
  </si>
  <si>
    <t>1700000000</t>
  </si>
  <si>
    <t>Подпрограмма 1. "Создание условий для обеспечения государственного управления"</t>
  </si>
  <si>
    <t>1710000000</t>
  </si>
  <si>
    <t>Основное мероприятие 1. Развитие государственной гражданской службы Мурманской области</t>
  </si>
  <si>
    <t>1710100000</t>
  </si>
  <si>
    <t>1710120080</t>
  </si>
  <si>
    <t>Аппарат Правительства Мурманской области (министерство)</t>
  </si>
  <si>
    <t>812</t>
  </si>
  <si>
    <t>Основное мероприятие 3. Проведение правовой экспертизы проектов нормативных правовых актов, осуществление мониторинга законодательства</t>
  </si>
  <si>
    <t>1710300000</t>
  </si>
  <si>
    <t>1710300010</t>
  </si>
  <si>
    <t>Управление по реализации антикоррупционной политики Мурманской области</t>
  </si>
  <si>
    <t>850</t>
  </si>
  <si>
    <t>1710300030</t>
  </si>
  <si>
    <t>1710313060</t>
  </si>
  <si>
    <t>1710313070</t>
  </si>
  <si>
    <t>1710320080</t>
  </si>
  <si>
    <t>1710359300</t>
  </si>
  <si>
    <t>Основное мероприятие 4. Организация обеспечения деятельности Губернатора Мурманской области и Правительства Мурманской области</t>
  </si>
  <si>
    <t>1710400000</t>
  </si>
  <si>
    <t>1710400010</t>
  </si>
  <si>
    <t>1710400030</t>
  </si>
  <si>
    <t>Реализация Закона Мурманской области "О государственной гражданской службе Мурманской области" в части предоставления единовременной субсидии на приобретение жилой площади</t>
  </si>
  <si>
    <t>1710413040</t>
  </si>
  <si>
    <t>1710413060</t>
  </si>
  <si>
    <t>1710420080</t>
  </si>
  <si>
    <t>Основное мероприятие 5. Организационное обеспечение взаимодействия Правительства Мурманской области с Правительством Российской Федерации, администрацией Президента Российской Федерации, федеральными органами государственной власти</t>
  </si>
  <si>
    <t>1710500000</t>
  </si>
  <si>
    <t>1710500050</t>
  </si>
  <si>
    <t>Основное мероприятие 6. Обеспечение реализации Губернатором Мурманской области его полномочий в области государственных наград Российской Федерации и наград Мурманской области</t>
  </si>
  <si>
    <t>1710600000</t>
  </si>
  <si>
    <t>Реализация Закона Мурманской области "О наградах и премиях Мурманской области" в части единовременной денежной выплаты при присвоении наград области</t>
  </si>
  <si>
    <t>1710610610</t>
  </si>
  <si>
    <t>Реализация Закона Мурманской области "О наградах и премиях Мурманской области" в части ежегодной денежной выплаты лицам, удостоенным наград области</t>
  </si>
  <si>
    <t>1710610620</t>
  </si>
  <si>
    <t>Реализация Закона Мурманской области "О наградах и премиях Мурманской области" в части иных выплат</t>
  </si>
  <si>
    <t>1710613030</t>
  </si>
  <si>
    <t>Основное мероприятие 7. Материально-техническое, транспортное и документационное обеспечение деятельности органов государственной власти Мурманской области, лиц, замещающих государственные должности Мурманской области, обеспечение которых возложено на Аппарат Правительства Мурманской области</t>
  </si>
  <si>
    <t>1710700000</t>
  </si>
  <si>
    <t>1710700050</t>
  </si>
  <si>
    <t>1710713060</t>
  </si>
  <si>
    <t>1710720100</t>
  </si>
  <si>
    <t>Основное мероприятие 8. Противодействие коррупции в исполнительных органах государственной власти Мурманской области, мониторинг состояния коррупции</t>
  </si>
  <si>
    <t>1710800000</t>
  </si>
  <si>
    <t>1710829990</t>
  </si>
  <si>
    <t>Основное мероприятие 9. Антикоррупционное просвещение и пропаганда антикоррупционного поведения</t>
  </si>
  <si>
    <t>1710900000</t>
  </si>
  <si>
    <t>1710929990</t>
  </si>
  <si>
    <t>Основное мероприятие 10. Организация государственной регистрации актов гражданского состояния на территории Мурманской области в соответствии с законодательством Российской Федерации</t>
  </si>
  <si>
    <t>1711000000</t>
  </si>
  <si>
    <t>1711059300</t>
  </si>
  <si>
    <t>Основное мероприятие 11. Создание условий для эффективной  деятельности административных комиссий</t>
  </si>
  <si>
    <t>1711100000</t>
  </si>
  <si>
    <t>Субвенция на осуществление Министерством внутренних дел Российской Федерации части полномочий Мурманской области по составлению протоколов об административных правонарушениях, посягающих на общественный порядок и общественную безопасность, предусмотренных Законом Мурманской области от 06.06.2003 № 401-01-ЗМО "Об административных правонарушениях"</t>
  </si>
  <si>
    <t>1711175020</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</si>
  <si>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</si>
  <si>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1711175540</t>
  </si>
  <si>
    <t>Субвенция на реализацию Закона Мурманской области "Об административных комиссиях"</t>
  </si>
  <si>
    <t>1711175550</t>
  </si>
  <si>
    <t>Основное мероприятие 12. Предоставление бесплатной юридической помощи гражданам Мурманской области и юридической помощи в труднодоступных и малонаселенных местностях региона</t>
  </si>
  <si>
    <t>1711200000</t>
  </si>
  <si>
    <t>Мероприятия по оказанию бесплатной юридической помощи гражданам на территории Мурманской области</t>
  </si>
  <si>
    <t>1711260010</t>
  </si>
  <si>
    <t>Основное мероприятие 14. Составление списков кандидатов в присяжные заседатели</t>
  </si>
  <si>
    <t>1711400000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</si>
  <si>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</si>
  <si>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1711451200</t>
  </si>
  <si>
    <t>Основное мероприятие 17. Организация повышения квалификации лиц, замещающих муниципальные должности, и муниципальных служащих по основным вопросам деятельности органов местного самоуправления</t>
  </si>
  <si>
    <t>1711700000</t>
  </si>
  <si>
    <t>1711729990</t>
  </si>
  <si>
    <t>Министерство внутренней политики Мурманской области</t>
  </si>
  <si>
    <t>846</t>
  </si>
  <si>
    <t>Подпрограмма 2. "Управление государственным имуществом Мурманской области"</t>
  </si>
  <si>
    <t>1720000000</t>
  </si>
  <si>
    <t>Основное мероприятие 1. Совершенствование учета государственного имущества Мурманской области и предоставление информации об объектах учета заинтересованным  физическим и юридическим лицам</t>
  </si>
  <si>
    <t>1720100000</t>
  </si>
  <si>
    <t>1720120100</t>
  </si>
  <si>
    <t>Основное мероприятие 6. Обеспечение внесения сведений в Единый государственный реестр недвижимости</t>
  </si>
  <si>
    <t>1720600000</t>
  </si>
  <si>
    <t>1720629990</t>
  </si>
  <si>
    <t>Основное мероприятие 10. Обеспечение реализации государственных функций и выполнения государственных работ в сфере управления государственным имуществом Мурманской области</t>
  </si>
  <si>
    <t>1721000000</t>
  </si>
  <si>
    <t>1721000010</t>
  </si>
  <si>
    <t>1721000030</t>
  </si>
  <si>
    <t>1721000050</t>
  </si>
  <si>
    <t>1721013060</t>
  </si>
  <si>
    <t>1721020100</t>
  </si>
  <si>
    <t>1721029990</t>
  </si>
  <si>
    <t>1730000000</t>
  </si>
  <si>
    <t>Основное мероприятие 1. Осуществление государственной поддержки коренных малочисленных народов Севера Мурманской области</t>
  </si>
  <si>
    <t>1730100000</t>
  </si>
  <si>
    <t>1730100050</t>
  </si>
  <si>
    <t>1730160040</t>
  </si>
  <si>
    <t>Поддержка экономического и социального развития коренных малочисленных народов Севера, Сибири и Дальнего Востока</t>
  </si>
  <si>
    <t>17301R5150</t>
  </si>
  <si>
    <t>Реализация мероприятий по укреплению единства российской нации и этнокультурному развитию народов России</t>
  </si>
  <si>
    <t>17301R5160</t>
  </si>
  <si>
    <t>Основное мероприятие 4. Обеспечение реализации государственных функций в сферах взаимодействия с общественными организациями, государственной национальной политики и защиты прав коренных малочисленных народов Севера, проживающих на территории Мурманской области, информационно-аналитического обеспечения деятельности Губернатора Мурманской области и Правительства Мурманской области</t>
  </si>
  <si>
    <t>1730400000</t>
  </si>
  <si>
    <t>1730400010</t>
  </si>
  <si>
    <t>1730400030</t>
  </si>
  <si>
    <t>1730413060</t>
  </si>
  <si>
    <t>1730413070</t>
  </si>
  <si>
    <t>1730420080</t>
  </si>
  <si>
    <t>1730420100</t>
  </si>
  <si>
    <t>Основное мероприятие 5. Создание условий для укрепления единства народов России, проживающих в Мурманской области, развития межнационального сотрудничества, формирования чувства патриотизма, гражданской ответственности</t>
  </si>
  <si>
    <t>1730500000</t>
  </si>
  <si>
    <t>1730500050</t>
  </si>
  <si>
    <t>1730529990</t>
  </si>
  <si>
    <t>1730560040</t>
  </si>
  <si>
    <t>17305R5160</t>
  </si>
  <si>
    <t>Основное мероприятие 6. Осуществление комплекса мер, направленных на поддержку молодежных инициатив</t>
  </si>
  <si>
    <t>1730600000</t>
  </si>
  <si>
    <t>Выплата именных стипендий Губернатора Мурманской области одаренным детям и учащейся молодежи</t>
  </si>
  <si>
    <t>1730610770</t>
  </si>
  <si>
    <t>1730629990</t>
  </si>
  <si>
    <t>1730660040</t>
  </si>
  <si>
    <t>Региональный проект "Социальная активность"</t>
  </si>
  <si>
    <t>173E800000</t>
  </si>
  <si>
    <t>173E829990</t>
  </si>
  <si>
    <t>Проведение Всероссийского конкурса лучших региональных практик поддержки волонтерства "Регион добрых дел"</t>
  </si>
  <si>
    <t>173E854120</t>
  </si>
  <si>
    <t>Подпрограмма 4. "Развитие и укрепление института мировой юстиции в Мурманской области"</t>
  </si>
  <si>
    <t>1740000000</t>
  </si>
  <si>
    <t>Основное мероприятие 1. Организация непрерывного профессионального развития мировых судей и работников аппаратов мировых судей</t>
  </si>
  <si>
    <t>1740100000</t>
  </si>
  <si>
    <t>1740120080</t>
  </si>
  <si>
    <t>Основное мероприятие 2. Кадровое, материально-техническое и информационное обеспечение судебных участков мировых судей Мурманской области</t>
  </si>
  <si>
    <t>1740200000</t>
  </si>
  <si>
    <t>1740200010</t>
  </si>
  <si>
    <t>1740200030</t>
  </si>
  <si>
    <t>1740200050</t>
  </si>
  <si>
    <t>1740213060</t>
  </si>
  <si>
    <t>1740229990</t>
  </si>
  <si>
    <t>Государственная программа "Формирование современной городской среды Мурманской области"</t>
  </si>
  <si>
    <t>1800000000</t>
  </si>
  <si>
    <t>Подпрограмма "Комплексное развитие городской среды"</t>
  </si>
  <si>
    <t>1810000000</t>
  </si>
  <si>
    <t>Основное мероприятие 5. Обеспечение деятельности Автономной некоммерческой организации "Центр городского развития Мурманской области"</t>
  </si>
  <si>
    <t>1810500000</t>
  </si>
  <si>
    <t>Субсидия автономной некоммерческой организации "Центр городского развития Мурманской области"</t>
  </si>
  <si>
    <t>1810560350</t>
  </si>
  <si>
    <t>Основное мероприятие 7. Реализация проектов местных инициатив граждан в муниципальных образованиях Мурманской области</t>
  </si>
  <si>
    <t>1810700000</t>
  </si>
  <si>
    <t>Субсидия бюджетам муниципальных образований на реализацию проектов по поддержке местных инициатив</t>
  </si>
  <si>
    <t>1810771090</t>
  </si>
  <si>
    <t>Основное мероприятие 8. Выполнение работ по ямочному ремонту дворовых проездов</t>
  </si>
  <si>
    <t>1810800000</t>
  </si>
  <si>
    <t>Иные межбюджетные трансферты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t>
  </si>
  <si>
    <t>1810877150</t>
  </si>
  <si>
    <t>181E800000</t>
  </si>
  <si>
    <t>181E854120</t>
  </si>
  <si>
    <t>Региональный проект "Формирование комфортной городской среды"</t>
  </si>
  <si>
    <t>181F200000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</si>
  <si>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</si>
  <si>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181F254240</t>
  </si>
  <si>
    <t>Поддержка государственных программ субъектов Российской Федерации  и муниципальных программ формирования современной городской среды</t>
  </si>
  <si>
    <t>181F255550</t>
  </si>
  <si>
    <t>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</si>
  <si>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181F271210</t>
  </si>
  <si>
    <t>Непрограммная деятельность</t>
  </si>
  <si>
    <t>9900000000</t>
  </si>
  <si>
    <t>Непрограммная деятельность Мурманской областной Думы</t>
  </si>
  <si>
    <t>9910000000</t>
  </si>
  <si>
    <t>9910000010</t>
  </si>
  <si>
    <t>Мурманская областная Дума</t>
  </si>
  <si>
    <t>801</t>
  </si>
  <si>
    <t>9910000030</t>
  </si>
  <si>
    <t>Выплата премий гражданам,  награжденным почетными грамотами,  по ходатайству депутата Мурманской областной Думы</t>
  </si>
  <si>
    <t>9910010630</t>
  </si>
  <si>
    <t>9910013060</t>
  </si>
  <si>
    <t>9910020080</t>
  </si>
  <si>
    <t>9910098700</t>
  </si>
  <si>
    <t>Непрограммная деятельность Правительства Мурманской области</t>
  </si>
  <si>
    <t>9920000000</t>
  </si>
  <si>
    <t>9920000010</t>
  </si>
  <si>
    <t>Правительство Мурманской области</t>
  </si>
  <si>
    <t>802</t>
  </si>
  <si>
    <t>9920000030</t>
  </si>
  <si>
    <t>9920013060</t>
  </si>
  <si>
    <t>Непрограммная деятельность Уполномоченного по правам ребенка в Мурманской области</t>
  </si>
  <si>
    <t>9930000000</t>
  </si>
  <si>
    <t>9930000010</t>
  </si>
  <si>
    <t>9930000030</t>
  </si>
  <si>
    <t>9930013060</t>
  </si>
  <si>
    <t>Непрограммная деятельность Уполномоченного по правам человека в Мурманской области</t>
  </si>
  <si>
    <t>9950000000</t>
  </si>
  <si>
    <t>9950000010</t>
  </si>
  <si>
    <t>Аппарат Уполномоченного по правам человека в Мурманской области</t>
  </si>
  <si>
    <t>880</t>
  </si>
  <si>
    <t>9950000030</t>
  </si>
  <si>
    <t>9950013060</t>
  </si>
  <si>
    <t>9950020080</t>
  </si>
  <si>
    <t>Непрограммная деятельность Избирательной комиссии Мурманской области</t>
  </si>
  <si>
    <t>9960000000</t>
  </si>
  <si>
    <t>9960000010</t>
  </si>
  <si>
    <t>Избирательная комиссия Мурманской области</t>
  </si>
  <si>
    <t>881</t>
  </si>
  <si>
    <t>9960000030</t>
  </si>
  <si>
    <t>9960013060</t>
  </si>
  <si>
    <t>Непрограммная деятельность Уполномоченного по защите прав предпринимателей в Мурманской области</t>
  </si>
  <si>
    <t>9970000000</t>
  </si>
  <si>
    <t>9970000010</t>
  </si>
  <si>
    <t>9970000030</t>
  </si>
  <si>
    <t>9970013060</t>
  </si>
  <si>
    <t>Непрограммная деятельность Контрольно-счетной палаты Мурманской области</t>
  </si>
  <si>
    <t>9980000000</t>
  </si>
  <si>
    <t>9980000010</t>
  </si>
  <si>
    <t>Контрольно-счетная палата Мурманской области</t>
  </si>
  <si>
    <t>882</t>
  </si>
  <si>
    <t>9980000030</t>
  </si>
  <si>
    <t>9980013060</t>
  </si>
  <si>
    <t>9980020080</t>
  </si>
  <si>
    <t>9980098700</t>
  </si>
  <si>
    <t>Иная непрограммная деятельность</t>
  </si>
  <si>
    <t>9990000000</t>
  </si>
  <si>
    <t>Реализация Закона Мурманской области "О государственных должностях Мурманской области"  и Закона Мурманской области "О государственной гражданской службе Мурманской области", за исключением предоставления единовременной субсидии на приобретение жилой площади</t>
  </si>
  <si>
    <t>9990000060</t>
  </si>
  <si>
    <t>Резервный фонд Правительства Мурманской области</t>
  </si>
  <si>
    <t>9990020010</t>
  </si>
  <si>
    <t>Выплаты по решениям судов</t>
  </si>
  <si>
    <t>9990020020</t>
  </si>
  <si>
    <t>Осуществление первичного воинского учета на территориях, где отсутствуют военные комиссариаты</t>
  </si>
  <si>
    <t>9990051180</t>
  </si>
  <si>
    <t>Обеспечение деятельности депутатов Государственной Думы и их помощников в избирательных округах</t>
  </si>
  <si>
    <t>9990051410</t>
  </si>
  <si>
    <t>Обеспечение членов Совета Федерации и их помощников в субъектах Российской Федерации</t>
  </si>
  <si>
    <t>9990051420</t>
  </si>
  <si>
    <t>Оказание содействия в подготовке проведения общероссийского голосования, а также информирования граждан Российской Федерации о такой подготовке</t>
  </si>
  <si>
    <t>999W000000</t>
  </si>
  <si>
    <t>999W020010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</si>
  <si>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</si>
  <si>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999W058530</t>
  </si>
  <si>
    <t>Профилактика и устранение последствий  распространения коронавирусной инфекции, а также предотвращение влияния ухудшения экономической ситуации на развитие отраслей экономики</t>
  </si>
  <si>
    <t>999К000000</t>
  </si>
  <si>
    <t>Выплаты стимулирующего характера работникам государственных учреждений за особые условия труда и дополнительную нагрузку (за счет средств резервного фонда Правительства Мурманской области)</t>
  </si>
  <si>
    <t>999К000101</t>
  </si>
  <si>
    <t>Единовременная региональная доплата гражданам, признанным в установленном порядке безработными (за счет средств резервного фонда Правительства Мурманской области)</t>
  </si>
  <si>
    <t>999К013901</t>
  </si>
  <si>
    <t>Расходы на обеспечение мероприятий направленных на профилактику и устранение последствий распространения коронавирусной инфекции (за счет средств резервного фонда Правительства Мурманской области)</t>
  </si>
  <si>
    <t>999К022101</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</si>
  <si>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Мурманской области)</t>
  </si>
  <si>
    <t>999К022102</t>
  </si>
  <si>
    <t>Осуществление единовременной  выплаты медицинским работникам отделений  для дифференциальной диагностики внебольничных пневмоний (за счет резервного фонда Правительства Мурманской области)</t>
  </si>
  <si>
    <t>999К022103</t>
  </si>
  <si>
    <t>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Мурманской области</t>
  </si>
  <si>
    <t>999К022104</t>
  </si>
  <si>
    <t>Проведение государственной итоговой аттестации по образовательным программам среднего общего образования в условиях распространения новой коронавирусной инфекции (COVID-19) (за счет средств резервного фонда Правительства Мурманской области)</t>
  </si>
  <si>
    <t>999К022105</t>
  </si>
  <si>
    <t>Единовременная выплата работникам, привлекаемым к проведению единого государственного экзамена в 2020 году в условиях распространения новой коронавирусной инфекции (COVID-19) (за счет средств резервного фонда Правительства Мурманской области)</t>
  </si>
  <si>
    <t>999К022106</t>
  </si>
  <si>
    <t>Приобретение аппаратов для искусственной вентиляции легких для оснащения медицинских организаций за счет средств резервного фонда Правительства Российской Федерации</t>
  </si>
  <si>
    <t>999К058110</t>
  </si>
  <si>
    <t>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</si>
  <si>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999К058300</t>
  </si>
  <si>
    <t>Поддержка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</si>
  <si>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999К058320</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</si>
  <si>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</si>
  <si>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999К058330</t>
  </si>
  <si>
    <t>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</si>
  <si>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999К058340</t>
  </si>
  <si>
    <t>Софинансирование расходных обязательств по развертыванию в Кольском районе Мурманской области быстровозводимого полевого госпиталя для оказания медицинской помощи больным новой коронавирусной инфекцией (COVID-19) за счет средств резервного фонда Правительства Российской Федерации</t>
  </si>
  <si>
    <t>999К058350</t>
  </si>
  <si>
    <t>Поддержка субъектов малого и среднего предпринимательства в связи с ухудшением экономической ситуации в результате распространения коронавирусной инфекции</t>
  </si>
  <si>
    <t>999К060590</t>
  </si>
  <si>
    <t>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</si>
  <si>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999К077130</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</si>
  <si>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</si>
  <si>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999К077140</t>
  </si>
  <si>
    <t>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</si>
  <si>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999К077160</t>
  </si>
  <si>
    <t>Итого:</t>
  </si>
  <si>
    <t/>
  </si>
  <si>
    <t>Отчет об использовании средств по объектам капитального строительства, финансируемых за счет средств областного бюджета, передаваемых местным бюджетам в текущем финансовом году 
по состоянию на 1 июля 2020 года</t>
  </si>
  <si>
    <t>тыс.рублей</t>
  </si>
  <si>
    <t>Перечень объектов</t>
  </si>
  <si>
    <t>Бюджетные ассигнования, всего</t>
  </si>
  <si>
    <t>в том числе подтвержденные остатки прошлых лет</t>
  </si>
  <si>
    <t>Кассовые расходы на 01.07.2020</t>
  </si>
  <si>
    <t>ГП</t>
  </si>
  <si>
    <t>г. Апатиты с подведомственной территорией</t>
  </si>
  <si>
    <t>Государственная программа 4. "Развитие физической культуры и спорта"</t>
  </si>
  <si>
    <t>Другие вопросы в области физической культуры и спорта</t>
  </si>
  <si>
    <t>Физкультурно-оздоровительный комплекс в городе Апатиты (за счет федеральных средств)</t>
  </si>
  <si>
    <t>Физкультурно-оздоровительный комплекс в городе Апатиты (за счет областных средств)</t>
  </si>
  <si>
    <t>г. Кировск с подведомственной территорией</t>
  </si>
  <si>
    <t>Государственная программа 5. "Развитие культуры и сохранение культурного наследия региона"</t>
  </si>
  <si>
    <t>Культура</t>
  </si>
  <si>
    <t>Реконструкция объекта культурного наследия регионального значения "Здание первого хибиногорского кинотеатра "Большевик" расположенного по адресу : Мурманская область, г. Кировск , ул. Ленина, д. 12</t>
  </si>
  <si>
    <t>Создание на территории г. Кировска с п. т. (Юнный клуб "Ласточка")</t>
  </si>
  <si>
    <t>Государственная программа 14. "Развитие экономического потенциала и формирование благоприятного предпринимательского климата"</t>
  </si>
  <si>
    <t>Другие вопросы в области национальной экономики</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</si>
  <si>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</si>
  <si>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Система искусственного оснежения для горнолыжных трасс г. Айкуайвенчорр (за счет федеральных средств)</t>
  </si>
  <si>
    <t>Система искусственного оснежения для горнолыжных трасс г. Айкуайвенчорр (за счет областных средств)</t>
  </si>
  <si>
    <t>г. Мончегорск с подведомственной территорией</t>
  </si>
  <si>
    <t>Государственная программа 7. "Обеспечение комфортной среды проживания населения региона"</t>
  </si>
  <si>
    <t>Благоустройство</t>
  </si>
  <si>
    <t>Новое кладбище в городе Мончегорске</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</si>
  <si>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</si>
  <si>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Коммунальное хозяйство</t>
  </si>
  <si>
    <t>Поселок 25. Канализационная насосная станция с напорным коллектором (за счет федеральных средств)</t>
  </si>
  <si>
    <t>Поселок 25. Канализационная насосная станция с напорным коллектором (за счет областных средств)</t>
  </si>
  <si>
    <t>г. Мурманск</t>
  </si>
  <si>
    <t>Государственная программа 2. "Развитие образования"</t>
  </si>
  <si>
    <t>Дошкольное образование</t>
  </si>
  <si>
    <t>Строительство детского сада на 80 мест в районе дома №44 по улице Капитана Орликовой в городе Мурманске (за счет федеральных средств)</t>
  </si>
  <si>
    <t>Строительство детского сада на 80 мест в районе дома №44 по улице Капитана Орликовой в городе Мурманске (за счет областных средств)</t>
  </si>
  <si>
    <t>Строительство детского сада на 196 мест в районе домов №31,32 по улице Достоевского в городе Мурманске (за счет федеральных средств)</t>
  </si>
  <si>
    <t>Строительство детского сада на 196 мест в районе домов №31,32 по улице Достоевского в городе Мурманске (за счет областных средств)</t>
  </si>
  <si>
    <t>Крытый каток с искусственным льдом МАУ ГЦС "Авангард" (за счет федеральных средств)</t>
  </si>
  <si>
    <t>Крытый каток с искусственным льдом МАУ ГЦС "Авангард" (за счет областных средств)</t>
  </si>
  <si>
    <t>г. Оленегорск с подведомственной территорией</t>
  </si>
  <si>
    <t>Городское кладбище г. Оленегорска</t>
  </si>
  <si>
    <t>ЗАТО Александровск</t>
  </si>
  <si>
    <t>Горнолыжная база (г. Полярный, ул. Героев "Тумана", 13)</t>
  </si>
  <si>
    <t>Строительство пешеходного моста в г. Полярный, ул. Моисеева - ул. Душенова</t>
  </si>
  <si>
    <t>ЗАТО г. Североморск</t>
  </si>
  <si>
    <t>Общее образование</t>
  </si>
  <si>
    <t>Общеобразовательная средняя школа на 1200 мест в ЗАТО г. Североморск Мурманской области (за счет федеральных средств)</t>
  </si>
  <si>
    <t>Общеобразовательная средняя школа на 1200 мест в ЗАТО г. Североморск Мурманской области (за счет областных средств)</t>
  </si>
  <si>
    <t>Детский сад в ЗАТО г. Североморск (за счет федеральных средств)</t>
  </si>
  <si>
    <t>Детский сад в ЗАТО г. Североморск (за счет областных средств)</t>
  </si>
  <si>
    <t>Ковдорский район</t>
  </si>
  <si>
    <t>Физкультурно-оздоровительный комплекс в г. Ковдоре</t>
  </si>
  <si>
    <t>Кандалакшский район</t>
  </si>
  <si>
    <t>Детский сад в с. Алакуртти Кандалакшского района (за счет федеральных средств)</t>
  </si>
  <si>
    <t>Детский сад в с. Алакуртти Кандалакшского района (за счет областных средств)</t>
  </si>
  <si>
    <t>Замена централизованного водяного теплоснабжения на электрическое по адресу: Мурманская область, Кандалакшский район, п. г. т. Зеленоборский,ул. Шоссейная, дом № 30</t>
  </si>
  <si>
    <t>Замена централизованного водяного теплоснабжения на электрическое по адресу: Мурманская область, Кандалакшский район, п. г. т. Зеленоборский,ул. Шоссейная, дом № 32</t>
  </si>
  <si>
    <t>Кладбище традиционного захоронения в районе н.п. Нивский</t>
  </si>
  <si>
    <t>Кольский район</t>
  </si>
  <si>
    <t>Детский сад в с. Мурмаши, ул. Причальная (за счет федеральных средств)</t>
  </si>
  <si>
    <t>Детский сад в с. Мурмаши, ул. Причальная (за счет областных средств)</t>
  </si>
  <si>
    <t>Быстровозводимый спортивный комплекс с плавательным бассейном (расположенный по адресу Мурманская область, г. Кола, пр. Защитников Заполярья, д. 3/1) (за счет федеральных средств)</t>
  </si>
  <si>
    <t>Быстровозводимый спортивный комплекс с плавательным бассейном (расположенный по адресу Мурманская область, г. Кола, пр. Защитников Заполярья, д. 3/1) (за счет областных средств)</t>
  </si>
  <si>
    <t>Другие вопросы в области жилищно-коммунального хозяйства</t>
  </si>
  <si>
    <t>Реконструкция водозаборных сооружений села Тулома Кольского района (за счет федеральных средств)</t>
  </si>
  <si>
    <t>Реконструкция водозаборных сооружений села Тулома Кольского района (за счет областных средств)</t>
  </si>
  <si>
    <t>Ловозерский район</t>
  </si>
  <si>
    <t>Реконструкция здания детского сада в с. Краснощелье под школу</t>
  </si>
  <si>
    <t>Печенгский  район</t>
  </si>
  <si>
    <t>Строительство здания начальной школы (пристройки) на 250 мест в поселке Печенга</t>
  </si>
  <si>
    <t>Новое кладбище МОГП Никель в районе 3 км автодороги Никель-Приречный Печенгского района</t>
  </si>
  <si>
    <t>Новое городское кладбище муниципального образования г. Заполярный</t>
  </si>
  <si>
    <t>Терский район</t>
  </si>
  <si>
    <t>Лыжная база Муниципального бюджетного образовательного учреждения дополнительного образования детей Центр детского творчества, пгт Умба</t>
  </si>
  <si>
    <t>ИТОГО, из них:</t>
  </si>
  <si>
    <t xml:space="preserve">средства федерального бюджета </t>
  </si>
  <si>
    <t xml:space="preserve">средства областного бюджета </t>
  </si>
  <si>
    <t>И.о. министра финансов Мурманской области</t>
  </si>
  <si>
    <t>М.А. Селезнёв</t>
  </si>
  <si>
    <t>исп.  А.В. Поддубная, (815 2) 48 60 38</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</si>
  <si>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</si>
  <si>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Отчет об использовании средств по объектам капитального строительства,</t>
  </si>
  <si>
    <t>финансируемых из областного бюджета в текущем финансовом году</t>
  </si>
  <si>
    <t>по состоянию на 1 июля 2020 года</t>
  </si>
  <si>
    <t>Государственная программа 1. "Развитие здравоохранения"</t>
  </si>
  <si>
    <t>Подпрограмма 4.  "Развитие инфраструктуры системы здравоохранения"</t>
  </si>
  <si>
    <t>Реконструкция каньонов ГОБУЗ "Мурманский областной онкологический диспансер", г. Мурманск, ул. Павлова, д. 6</t>
  </si>
  <si>
    <t>Амбулатория в п.г.т. Сафоново</t>
  </si>
  <si>
    <t>Фельдшерско-акушерский пункт в с. Краснощелье Ловозерского района</t>
  </si>
  <si>
    <t>Реконструкция комплекса зданий ГОБУЗ "Мурманский областной онкологический диспансер"</t>
  </si>
  <si>
    <t>Разработка проектной документации</t>
  </si>
  <si>
    <t>Жилой одноэтажный корпус на 50 койко-мест детского оздоровительного центра "Гандвиг"</t>
  </si>
  <si>
    <t>Спортивная площадка ГАПОУ МО "Мурманский индустриальный колледж, расположенная по адресу г. Мурманск, ул. Подгорная, 80"</t>
  </si>
  <si>
    <t>Создание регионального центра выявления, поддержки и развития способностей и талантов у детей и молодежи Мурманской области</t>
  </si>
  <si>
    <t>Комплексное развитие СК "Долина Уюта" в г. Мурманске (за счет федеральных средств)</t>
  </si>
  <si>
    <t>Комплексное развитие СК "Долина Уюта" в г. Мурманске (за счет областных средств)</t>
  </si>
  <si>
    <t>Административно-спортивный комплекс специализированной детско-юношеской спортивной школы олимпийского резерва по горнолыжному спорту в г. Кировске (за счет федеральных средств)</t>
  </si>
  <si>
    <t>Административно-спортивный комплекс специализированной детско-юношеской спортивной школы олимпийского резерва по горнолыжному спорту в г. Кировске (за счет областных средств)</t>
  </si>
  <si>
    <t>Горнолыжный подъемник специализированной детско-юношеской спортивной школы олимпийского резерва по горнолыжному спорту в г. Кировске (за счет федеральных средств)</t>
  </si>
  <si>
    <t>Горнолыжный подъемник специализированной детско-юношеской спортивной школы олимпийского резерва по горнолыжному спорту в г. Кировске (за счет областных средств)</t>
  </si>
  <si>
    <t>Строительство бассейна в г.Мурманске</t>
  </si>
  <si>
    <t>Реконструкция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 (за счет федеральных средств)</t>
  </si>
  <si>
    <t>Реконструкция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 (за счет областных средств)</t>
  </si>
  <si>
    <t>Реконструкция книгохранения здания ГОБУК «Мурманская государственная областная универсальная научная библиотека», по адресу: г. Мурманск, ул. Софьи Перовской, д. 21А</t>
  </si>
  <si>
    <t>Реконструкция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 (за счет федеральных средств)</t>
  </si>
  <si>
    <t>Реконструкция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 (за счет областных средств)</t>
  </si>
  <si>
    <t>Реконструкция здания ДК Моряков в г. Мурманске</t>
  </si>
  <si>
    <t>Реконструкция здания ГОАУК «Мурманский областной Дворец культуры и народного творчества им. С.М. Кирова» в целях приспособления объекта культурного наследия для современного использования, по адресу: г. Мурманск, ул. Пушкинская, д. 3</t>
  </si>
  <si>
    <t>Подпрограмма 1. "Обеспечение доступным и комфортным жильем и коммунальными услугами граждан Мурманской области"</t>
  </si>
  <si>
    <t>Комплекс крупного рогатого скота "Тулома". Очистные сооружения сточных вод производительностью 200 м3/сут</t>
  </si>
  <si>
    <t>Жилые дома в г. Мурманске на ул. Бондарной</t>
  </si>
  <si>
    <t>Строительство  Южных ОСК, г. Мурманск</t>
  </si>
  <si>
    <t>Реконструкция Северных очистных сооружений канализации. Строительство станции биологической очистки</t>
  </si>
  <si>
    <t>Государственная программа 8. "Обеспечение общественного порядка и безопасности населения региона"</t>
  </si>
  <si>
    <t>Пожарное депо на 4 автомобиля в п.г.т. Умба</t>
  </si>
  <si>
    <t xml:space="preserve">Подпрограмма 4. "Развитие внешнеэкономических связей, туризма и торговой деятельности в регионе"
</t>
  </si>
  <si>
    <t>Система искусственного оснежения для ГОАУМО "Кировская спортивная школа олимпийского резерва по горнолыжному спорту" (за счет федеральных средств)</t>
  </si>
  <si>
    <t>Система искусственного оснежения для ГОАУМО "Кировская спортивная школа олимпийского резерва по горнолыжному спорту" (за счет областных средств)</t>
  </si>
  <si>
    <t>Государственная программа 12. "Развитие транспортной системы"</t>
  </si>
  <si>
    <t>Проектно - изыскательские и прочие работы</t>
  </si>
  <si>
    <t>Реконструкция автоподъезда к селу Териберка, км 0 - км 10 (за счет федеральных средств)</t>
  </si>
  <si>
    <t>Реконструкция автоподъезда к селу Териберка, км 0 - км 10 (за счет областных средств)</t>
  </si>
  <si>
    <t>Техническое переоснащение музеев (установка подведомственным учреждением ГОАУ «Мурманский областной краеведческий музей»  оборудования специального типа для проведения специализированных выставок, показов, инсталляций и пр.) (за счет федеральных средств)</t>
  </si>
  <si>
    <t>Техническое переоснащение музеев (установка подведомственным учреждением ГОАУ «Мурманский областной краеведческий музей»  оборудования специального типа для проведения специализированных выставок, показов, инсталляций и пр.) (за счет областных средств)</t>
  </si>
  <si>
    <t>ВСЕГО, из них:</t>
  </si>
  <si>
    <t>Межбюджетные трансферты, из них:</t>
  </si>
  <si>
    <t>ИТОГО с учетом межбюджетных трансфертов</t>
  </si>
  <si>
    <t>План реализации государственной программы на 2019-2020 годы</t>
  </si>
  <si>
    <t>Министерство спорта и молодежной политики МО, Министерство строительства МО</t>
  </si>
  <si>
    <t>Министерство спорта и молодежной политики МО</t>
  </si>
  <si>
    <t>Министерство строительства МО</t>
  </si>
  <si>
    <t>2019-2020</t>
  </si>
  <si>
    <t>Министерство спорта и молодежной политики МО, подведомственные Минспорту МО учреждения</t>
  </si>
  <si>
    <t>Министерство спорта и молодежной политики МО, Министерство информационной политики МО, подведомственные учреждения</t>
  </si>
  <si>
    <t>Закупка оборудования для обеспечения антитеррористической защищенности объектов спорта учреждений, подведомственных Министерство спорта и молодежной политики МО</t>
  </si>
  <si>
    <t>Министерство спорта и молодежной политики МО, подведомственные учреждения</t>
  </si>
  <si>
    <t>Создание автоматизированной информационной системы информационно-коммуникационного и статистического обеспечения контроля и прогнозирования развития спортивной отрасли в 2020 году</t>
  </si>
  <si>
    <t xml:space="preserve"> Доля населения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 Доля населения  Мурманской области, занимающихся физической культурой и спортом по месту работы, в общей численности населения занятого в экономике.</t>
  </si>
  <si>
    <t>Ежегодное изготовление и трансляция не менее 1  телевизионной программы по развитию физической культуры и спорта в Мурманской области.</t>
  </si>
  <si>
    <t xml:space="preserve"> Доля населения  Мурманской области, занимающихся физической культурой и спортом по месту работы, в общей численности населения занятого в экономике.</t>
  </si>
  <si>
    <t>Министерство спорта и молодежной политики МО, подведомственные Минспорту МО учреждения, администрации муниципальных образований МО</t>
  </si>
  <si>
    <t>2020 год - поставка комплектов спортивного оборудования: малые спортивные  формы в   пгт Алакуртти и футбольное  поле в ЗАТО  Александровск</t>
  </si>
  <si>
    <t>Министерство спорта и молодежной политики МО, муниципальные образования МО</t>
  </si>
  <si>
    <t>1.3.2.</t>
  </si>
  <si>
    <t>Закупка комплекта искусственного покрытия футбольного поля</t>
  </si>
  <si>
    <t xml:space="preserve">Закупка комплекта искусственного покрытия футбольного поля в рамках ФЦП "Развитие физической культуры и спорта в Росийской Федерации". Укладка искусственного покрытия футбольного поля за счет средств муниципального образования: в 2019 году г. Кировск. </t>
  </si>
  <si>
    <t xml:space="preserve">Ежегодная организация  сеансов свободного плавания в муниципальных образованиях МО в колличестве не менее 7000 чел./посещений </t>
  </si>
  <si>
    <t>Закупка спортивного оборудования по ОФП и СФП в соответствии с федеральными стандартами спортивной подготоки для  1 СШОР Мурманской области в 2020 году</t>
  </si>
  <si>
    <t>В 2019-2020 годах  проведение ежегодно не менее 22  всероссийских, областных,  и межмуниципальных официальных  физкультурных мероприятий, в том числе по защите прав потребителй. Внедрение Всероссийского физкультурно-спортивного комплекса ГТО, в том числе организация и проведение не менее 8 официальных физкультурных мероприятий. Организация и проведение тестирования населения нормама ГТО в региональном центре тестирования.</t>
  </si>
  <si>
    <t>Министерство спорта и молодежной политики МО, ГАУМО «ЦСП»</t>
  </si>
  <si>
    <t>Ежегодная организация и проведение не менее 1  регионального этапа Всероссийских конкурсов, смотров-конкурсов</t>
  </si>
  <si>
    <t>Организация и проведение тренировочных мероприятий по подготовке к официальным спортивным мероприятиям, по общей физической или специальной физической  подготовке, восстановительных мероприятий спортивных сборных команд Мурманской области не менее чем по 10  видам спорта</t>
  </si>
  <si>
    <t xml:space="preserve">Основное мероприятие 2 "Реализация программ спортивной подготовки в сфере физичечской культуры и спорта подведомственными учреждениями"
</t>
  </si>
  <si>
    <t xml:space="preserve">Обеспечение подготовки спортивного резерва для сборных команд Российской Федерации  </t>
  </si>
  <si>
    <t xml:space="preserve">ГАУМО «ЦСП»  </t>
  </si>
  <si>
    <t>Государственная поддержка  спортивных  организаций,  осуществляющих  подготовку  спортивного  резерва для  сборных  команд,  в том числе спортивных сборных команд Российской Федерации</t>
  </si>
  <si>
    <t xml:space="preserve">2020 год - закупка не менее 4 государственным спортивным организациям для отделений  по базовым  видам спорта спортивного оборудования, экипировки и инвентаря в соответствии с федеральными стандартами спортивной подготовки </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</si>
  <si>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 (1ед.)</t>
  </si>
  <si>
    <t>Приобретение лицензионных программных продуктов, технических компьютерных средств для нужд 6 подведомственных учреждений</t>
  </si>
  <si>
    <t>Доля спортсменов-разрядников в общем количестве лиц, занимающихся в системе специализированных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доля спортсменов-разрядников, имеющих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t>
  </si>
  <si>
    <t>Приобретение в 2020 году спортивного оборудования и инвентаря для хоккея не менее 1 комлекта</t>
  </si>
  <si>
    <t>Ежегодное проведение не менее 10 соревнований международного традиционного Праздника Севера.</t>
  </si>
  <si>
    <t xml:space="preserve">Приобретение оборудования и инвентаря в соответствии с федеральными стандартами спортивной подготовки в не менее 6 спортивных школ осуществляющих спортивную подготовку муниципальных образований Мурманской области </t>
  </si>
  <si>
    <t>Министерство спорта и молодежной политики МО, Администрации муниципальных образований  МО</t>
  </si>
  <si>
    <t xml:space="preserve">Реализация программ спортивной подготовки в 2019 году и плановом периоде 2020-2021 г.г.: ГАУМО «КСШОР» - 335 человек, ГАУМО «МОСШОР по зимним видам спорта» - 579 человек, ГАУМО «МОСШОР» - 233 человека, ГАУМО «Мончегорская СШОР» - 256 человек, ГАУМО «Кировская СШОР» - 270 человек. </t>
  </si>
  <si>
    <t>Министерство спорта и молодежной политики МО Минстрой МО, ГОКУ «УКС МО», муниципальные образования МО</t>
  </si>
  <si>
    <t>2016 год разработка проекта. В 2017 году заключение контракта, подготовительные работы, работы нулевого цикла.
Техническая готовность объекта в 2018 году 42%. Объект введен в эксплуатацию (разрешение на ввод от 21.08.2019).</t>
  </si>
  <si>
    <t>Разработка ПСД по объекту "Реконструкция здания плавательного бассейна по ул. Челюскинцев, д.2 в г. Мурманске"</t>
  </si>
  <si>
    <t xml:space="preserve">Разработка проектной документации, получение положительного заключения государственой экспертизы в 2019 году. </t>
  </si>
  <si>
    <t>Разработка проектной документации, получение положительного заключения государственой экспертизы в 2017 году. 2019 - корректура проекта в целях выделения этапов строительства, получение экспертизы. Строительство 1 этапа - 2019</t>
  </si>
  <si>
    <t>2018 год - разработка ПСД, получение заключения по проверке достоверности определения сметной стоимости. 2019 - строительство.</t>
  </si>
  <si>
    <t xml:space="preserve">Строительство объекта «Физкультурно-оздоровительный комплекс в городе Апатиты»  </t>
  </si>
  <si>
    <t>Строительство объекта - 2019 г, техническая готовность в 2019 году - 26%</t>
  </si>
  <si>
    <t>Минстрой МО, МО г.Апатиты с п.т.</t>
  </si>
  <si>
    <t xml:space="preserve">Строительство объекта «Лыжная база Муниципального бюджетного образовательного учреждения дополнительного образования детей Центр детского творчества», пгт Умба                                                                                                                                                                 </t>
  </si>
  <si>
    <t>2019 год строительство и ввод объекта в эксплуатацию.</t>
  </si>
  <si>
    <t>Минстрой МО, МО Терский р-он</t>
  </si>
  <si>
    <t>Проведение инженерных изысканий для подготовки проекта планировки территории и проекта межевания территории для размещения спортивно-досугового многофункционального центра на территории г. Мурманска</t>
  </si>
  <si>
    <t>2019 год проведение инженерных изысканий для подготовки проекта планировки территории и проекта межевания территории для размещения спортивно-досугового многофункционального центра на территории г. Мурманска</t>
  </si>
  <si>
    <t xml:space="preserve">Разработка проекта планировки территории и проекта межевания территории для размещения на земельном участке, расположенном в городе Мурманске Мурманской области в кадастровом квартале 51:20:0001012, ограниченном улицами: Кольский проспект, Морская ул. </t>
  </si>
  <si>
    <t>2019 год разработка проекта планировки территории и проекта межевания территории для размещения на земельном участке, расположенном в городе Мурманске Мурманской области в кадастровом квартале 51:20:0001012, ограниченном улицами: Кольский проспект, Морская улица, улица Ломоносова, Лыжный проезд, ориентировочной площадью 22,5 га  объектов капитального строительства, в том числе объекта -  «Спортивно-досуговый  многофункциональный центр на территории  г. Мурманска в Долине Уюта», разработка проектной документации</t>
  </si>
  <si>
    <t>Субсидия на подготовку основания для установки спортивных площадок (ГТО)</t>
  </si>
  <si>
    <t>2019 - подготовка основания для установки спортивных площадок (псп Алакуртти, пгт Никель, п.Гаджиево, пгт. Верхнетуломский)</t>
  </si>
  <si>
    <t>Министерство спорта и молодежной политики МО, администрация муниципального образования</t>
  </si>
  <si>
    <t>Строительство быстровозводимого спортивного комплекса с плавательным бассейном на Кольском проспекте в г. Мурманске</t>
  </si>
  <si>
    <t>Подготовка проектной документации - 2020 г</t>
  </si>
  <si>
    <t>2019 - подготовка проектной документации, 2020 - строительство</t>
  </si>
  <si>
    <t>Межшкольный стадион в г. Мурманске» г. Мурманск, пр. Героев Североморцев, дом 2 (второй этап)</t>
  </si>
  <si>
    <t>2019 год - завершение строительства 2-го этапа (ввод в эксплуатацию не требуется).</t>
  </si>
  <si>
    <t>Реконструкция объектов спорта</t>
  </si>
  <si>
    <t>Разработка проектно-сметной документации в 2020 году</t>
  </si>
  <si>
    <t>Разработка ПСД объекта в 2020 году</t>
  </si>
  <si>
    <t>Строительство объекта в г. Полярный в 2020 году</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</si>
  <si>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</si>
  <si>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Министерство строительства МО, администрации муниципальных образований</t>
  </si>
  <si>
    <t xml:space="preserve">Возмещение затрат юридических лиц в части содержания государственного имущества    </t>
  </si>
  <si>
    <t xml:space="preserve">Возмещение затрат ГОУП «УСЦ»  в части  содержания государственного имущества. </t>
  </si>
  <si>
    <t>Министерство спорта и молодежной политики МО, ГОУП УСЦ</t>
  </si>
  <si>
    <t>Капитальный ремонт здания спортивного комплекса «Дельфин» в г. Заполярный</t>
  </si>
  <si>
    <t xml:space="preserve"> 2019 год - ремонт чаши бассейна, фасада, коммуникаций, внутренних помещений. 2020 - ремонт бассейна, внутренний водопровод и канализация</t>
  </si>
  <si>
    <t>Минстрой МО, МО г.п. Заполярный Печенгского района</t>
  </si>
  <si>
    <t>Замена витражного остекления здания Ледового дворца спорта со стороны Ленинградского проспекта, частичный ремонт фасада, г. Оленегорск</t>
  </si>
  <si>
    <t xml:space="preserve">Ремонт в 2019 году витражного остекления здания Ледового дворца спорта со стороны Ленинградского проспекта, частичный ремонт фасада в г. Оленегорске.           </t>
  </si>
  <si>
    <t>Минстрой МО, МО г.Оленегорск с п.т.</t>
  </si>
  <si>
    <t>Капитальный ремонт стадиона в п. Мурмаши, ул. Позднякова, д. 8</t>
  </si>
  <si>
    <t>Капитальный ремонт в 2019 году стадиона в п. Мурмаши, ул. Позднякова, д. 8</t>
  </si>
  <si>
    <t>Минстрой МО, МО г.п.Мурмаши Кольского района</t>
  </si>
  <si>
    <t>Замена и установка пожарной, охранной сигнализации и системы видео наблюдения</t>
  </si>
  <si>
    <t>2019 - замена и установка пожарной, охранной сигнализации и системы видео наблюдения в подведомственных организациях</t>
  </si>
  <si>
    <t>Министерство спорта и молодежной политики МО, ГБУДО "МОСШ", ГАУМО "МОСШОР"</t>
  </si>
  <si>
    <t>Сертификация спортсооружений</t>
  </si>
  <si>
    <t>2019 - сертификация спортсооружений в подведомственных организациях</t>
  </si>
  <si>
    <t>Министерство спорта и молодежной политики МО, ГАУМО "Мончегорская СШОР", ГАУМО "ЦСП"</t>
  </si>
  <si>
    <t>Капитальный ремонт здания Дома физкультуры и системы водоочистки плавательного бассейна учреждения спорта "УСЦ" г. Оленегорск</t>
  </si>
  <si>
    <t>2019 - капитальный ремонт здания Дома физкультуры и системы водоочистки плаательного бассейна учреждения спорта "УСЦ" г. Оленегорск</t>
  </si>
  <si>
    <t>Текущий ремонт стадиона "Локомотив", г.Кандалакша</t>
  </si>
  <si>
    <t>2019 - капитальный ремонт стадиона "Локомотов", г.Кандалакша</t>
  </si>
  <si>
    <t>Ремонт межшкольных стадионов</t>
  </si>
  <si>
    <t>2019 - капитальный ремонт межшкольного стадиона, пгт Умба, пгт Зеленоборский</t>
  </si>
  <si>
    <t>Технологическое присоединение к электросетям</t>
  </si>
  <si>
    <t>Технологическое присоединение к электросетям АСК и Горнолыжного подъемника (г. Кировск)</t>
  </si>
  <si>
    <t>Министерство спорта и молодежной политики МО, ГАУМО "Кировская СШОР"</t>
  </si>
  <si>
    <t>Текущие и капитальные ремонтные работы в подведомственных учреждениях</t>
  </si>
  <si>
    <t>Субсидия на капитальный и текущий ремонт в подведомственных учреждениях. В 2020 году ремонты в 2ух подведомственных учреждениях</t>
  </si>
  <si>
    <t>2020 год проведение инженерных изысканий для подготовки проекта планировки территории и проекта межевания территории для размещения спортивно-досугового многофункционального центра на территории г. Мурманска</t>
  </si>
  <si>
    <t>Мероприятия по обеспечению техническими средствами адаптации для маломобильных групп населения</t>
  </si>
  <si>
    <t>Обеспечение доступности подведомственных учреждений для маломобильных групп населения</t>
  </si>
  <si>
    <t>Министерство спорта и молодежной политики МО, ГАУМО "ЦСП"</t>
  </si>
  <si>
    <t>Капитальный ремонт бассейна МАУ СШОР № 1 г. Мончегорска (водоподготовка и технологическое оборудовние)</t>
  </si>
  <si>
    <t>в 2020 году капитальный ремонт чаши бассейна и прилегающего к нему помещения с полной заменой их инженерных систем и оборудования в спортивно-оздоровительном комплексе МАУ "СШОР №1</t>
  </si>
  <si>
    <t>Минстрой МО, МО г.Мончегорск</t>
  </si>
  <si>
    <t xml:space="preserve">Капитальный ремонт чаши плавательного бассейна МБОУ ДО ДЮСШ г. Снежногорска </t>
  </si>
  <si>
    <t xml:space="preserve">в 2020 году капитальный ремонт чаши плавательного бассейна </t>
  </si>
  <si>
    <t>Минстрой МО, МО ЗАТО Александровск</t>
  </si>
  <si>
    <t xml:space="preserve">Капитальный ремонт спортивного зала МБУК "ЦТиД г. Гаджиево" </t>
  </si>
  <si>
    <t>в 2020 году капитальный ремонт спортивного зала МБУК "ЦТиД г. Гаджиево"</t>
  </si>
  <si>
    <t xml:space="preserve">Капитальный ремонт плавательного бассейна в г. Полярные Зори </t>
  </si>
  <si>
    <r>
      <t xml:space="preserve">в 2020 году капитальный ремонт </t>
    </r>
    <r>
      <rPr>
        <sz val="8"/>
        <color indexed="36"/>
        <rFont val="Times New Roman"/>
        <family val="1"/>
        <charset val="204"/>
      </rPr>
      <t>плавательного бассейна в рамках соглашения с РОСАТОМом</t>
    </r>
  </si>
  <si>
    <t>Минстрой МО</t>
  </si>
  <si>
    <t>Капитальный ремонт беговых дорожек, трибун и подтрибунных помещений стадиона МБУ СШ «Олимп» г. Оленегорска</t>
  </si>
  <si>
    <t xml:space="preserve">В 2020 году капитальный ремонт беговых дорожек, трибун с установкой кресел и поттрибунных помещений стадиона </t>
  </si>
  <si>
    <t>Капитальный ремонт кровли Ледового дворца спорта МУС «УСЦ» г. Оленегорска</t>
  </si>
  <si>
    <t xml:space="preserve">В 2020 - капитальный ремонт кровли здания </t>
  </si>
  <si>
    <t>Основное мероприятие 3 «Строительство, реконструкция и модернизация спортивных объектов Мурманской области в рамках государственно-частного партнерства»</t>
  </si>
  <si>
    <t>Министерство спорта и молодежной политики МО, подведомственные Минспорту МО учреждения, Минстрой МО, администрации муниципальных образований МО</t>
  </si>
  <si>
    <t>3.4.1.</t>
  </si>
  <si>
    <t>Строительство объекта "Межшкольный стадион в г. Мурманске" г. Мурманск, пр. Героев Североморцев, дом 2 (первый этап)</t>
  </si>
  <si>
    <t>2019 г - строительство 1-го этапа, ввод объекта  - октябрь 2019г.</t>
  </si>
  <si>
    <t>3.4.2.</t>
  </si>
  <si>
    <t>2019 г - строительство, ввод в эксплуатацию в 2019г.</t>
  </si>
  <si>
    <t>Техническая готовность объекта в 2019 году 48%, ввод объекта в 2020 году.</t>
  </si>
  <si>
    <t>3.4.4.</t>
  </si>
  <si>
    <t>Строительство объекта "Межшкольный стадион в г. Мурманске" г. Мурманск, пр. Героев Североморцев, дом 2 (второй этап)</t>
  </si>
  <si>
    <t xml:space="preserve">Строительство объекта - 2019-2020 год. Техническая готовность объекта в 2019 году  - 20% (уровень освоения установлен с учетом поставки дорогостоящего оборудования длительного изготовления). Ввод объекта в эксплуатацию в 2020 году. </t>
  </si>
  <si>
    <t>Минстрой МО, ГУАМО "Кировская СШОР"</t>
  </si>
  <si>
    <t>3.4.6.</t>
  </si>
  <si>
    <t>Создание или модернизация футбольных полей с искусственным покрытиеми легкоатлетическими беговыми дорожками</t>
  </si>
  <si>
    <t>Ремонт футбольных полей. 2019 год г. Кандалакша.</t>
  </si>
  <si>
    <t>Строительство объекта в г. Мурманске. 2019-2020 годы - строительство.Техническая готовность объекта в 2019 году - 40%. Ввод объект в эксплуатацию в 2020 году.</t>
  </si>
  <si>
    <t>Минстрой МО, МО г.Мурманск</t>
  </si>
  <si>
    <t>2020 - капитальный ремонт искусственного покрытия футбольного поля с легкоатлетическими дорожками ЗАТО Александровск</t>
  </si>
  <si>
    <t>3.4.9.</t>
  </si>
  <si>
    <t>Субсидия на подготовку основания  и установку комплекта спортивно технологического оборудования для создания малых спортивных площадок</t>
  </si>
  <si>
    <t>2019 - подготовка основания и установка комплекта спортивно-технологического оборудования для создания малой спортивной площадки ЗАТО Заозерск,  ЗАТО Североморск</t>
  </si>
  <si>
    <t>Приобретение и установка не менее 3 спортивных площадок ежегодно.</t>
  </si>
  <si>
    <t>Разработка проектной документации, получение положительного заключения государственой экспертизы в 2017 году. 2019 - корректура проекта в целях выделения этапов строительства, получение экспертизы. Строительство 1 этапа - 2019-2020 годы.</t>
  </si>
  <si>
    <t>Строительство объекта - 2020-2021 гг, техническая готовность в 2020 году - 80%, ввод в 2021 году</t>
  </si>
  <si>
    <t>Подпрограмма 4 "Обеспечение реализации государственной программы»</t>
  </si>
  <si>
    <t>Министерство спорта   Мурманской области</t>
  </si>
  <si>
    <t>Министерство спорта МО и Минстрой МО</t>
  </si>
  <si>
    <t>Министерство спорта МО и подведомственные организации Минспорту МО</t>
  </si>
  <si>
    <t>Министерство спорта МО</t>
  </si>
  <si>
    <t xml:space="preserve">Министерство спорта Мо и подведомственные учреждения администрации </t>
  </si>
  <si>
    <t>Миистерство спорта МО и подведомственные учреждения Минспорту МО</t>
  </si>
  <si>
    <t>Министерство спорта МО и подведомственные учреждения Минспорта МО</t>
  </si>
  <si>
    <t>Министерстов спорта МО</t>
  </si>
  <si>
    <t>Министерство спорта МО, подведомственные организации., Минстрой МО, Администрации МО.</t>
  </si>
  <si>
    <t>Предоставление субсидий из областного бюджета некомерческими оргаизациями, осуществляющими деятельность в сфере физической культуры т мпорта по виду спорта "Хокей с мячем"</t>
  </si>
  <si>
    <t>1.2.4.</t>
  </si>
  <si>
    <t>Предоставление субсидий и грантов  в форме субсидий по итогам проведения конкурса для реализации социально значимых проектов в сфере физической культуры и спорта</t>
  </si>
  <si>
    <t>1.2.5.</t>
  </si>
  <si>
    <t>Частичное финансовое обеспечение затрат, связанных с подготовкой и участием спортивной команды в физкультурных мероприятиях и спортивных мероприятиях по хоккею, а также с оплатой труда и начислениями на оплату труда работников</t>
  </si>
  <si>
    <t xml:space="preserve">Реализация социально значимых проектов и программ в сфере физической культуры и спорта </t>
  </si>
  <si>
    <t>Содействие развитию физической культуры и спорта на территории Мурманской области, достижение целевого показателя в рамках национальной цели "Сохранение населения, здоровья и благополучия людей"</t>
  </si>
  <si>
    <t>1.4 Доля граждан Мурманской области, занимающихся физической культурой и спортом по месту работы, в общей численности населения занятого в экономике</t>
  </si>
  <si>
    <t>Обеспечение подготовки спортивного резерва для сборных команд РФ</t>
  </si>
  <si>
    <t>Предоставление компенцации расходов на оплату стоимости и провоза багажа к месту использования отпуска и обратно.</t>
  </si>
  <si>
    <t xml:space="preserve">2.2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 2.3 Доля граждан в возрасте 6-15 лет, занимающихся в спортивных организациях, в общей численности детей и молодежи в возрасте 6-15 лет. </t>
  </si>
  <si>
    <t>Частичное финансовое обеспечение затрат, направленных на подготовку спортивного резерва в соответствии с федеральными стандартами  спортивной подготовки по виду спорта «хоккей», предусмотренных соглашениями между Правительством Мурманской области и градообразующим предприятием</t>
  </si>
  <si>
    <t>Субсидии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t>
  </si>
  <si>
    <t>Частичное финансовое обеспечение затрат, направленных на подготовку спортивного резерва в соответствии с федеральными стандартами  спортивной подготовки</t>
  </si>
  <si>
    <t xml:space="preserve"> Численность спортсменов МО, включенных в список кандидатов в спортивные сборные команды Российской Федерации. 2.3 Доля граждан в возрасте 6-15 лет, занимающихся в спортивных организациях, в общей численности детей и молодежи в возрасте 6-15 лет. 2.4 Доля спортсменов-разрядников в общем количестве лиц, занимающихся в системе  спортивных школ олимпийского резерва. </t>
  </si>
  <si>
    <t xml:space="preserve">3.3 Эффективность использования существующих объектов спорта. 3.4 Единовременная пропускная способность объектов спорта, введенных в эксплуатацию в рамках Программы. </t>
  </si>
  <si>
    <t xml:space="preserve">3.2 Количество спортивных сооружений, на которых осуществлен капитальный и текущий  ремонт. 3.3 Эффективность использования существующих объектов спорта. </t>
  </si>
  <si>
    <t>Субсидия на капитальный ремонт футбольного поля с искуственным покрытием и легкоатлетическими беговыми дорожками</t>
  </si>
  <si>
    <t>Минстрой МО, администрация муниципального образовани</t>
  </si>
  <si>
    <t>Строительство объекта «Физкультурно-оздоровительный комплекс с бассейном в г. Заозерск»</t>
  </si>
  <si>
    <t>2019-2020 – разработка ПСД, заключение госэкспертизы, 2021-2022 – строительство, 2022 – ввод объекта в эксплуатацию. Превышение уровня софинансирования, утвержденного постановлением Правительства МО, местным бюджетом  в 2022 году за счет средств муниципалитета.</t>
  </si>
  <si>
    <t>Строительство объекта «Физкультурно-оздоровительный комплекс со специализированной школой по самбо, дзюдо и вольной борьбе в г. Кандалакша»</t>
  </si>
  <si>
    <t>2020 – разработка ПСД, заключение госэкспертизы, 2021-2022 – строительство, 2022 – ввод объекта в эксплуатацию. Превышение уровня софинансирования, утвержденного постановлением Правительства МО, местным бюджетом  в 2022 году за счет средств муниципалитета.</t>
  </si>
  <si>
    <t>Обеспечение реализации государственных функций и государственных услуг Министерства спорта</t>
  </si>
  <si>
    <t>Министерство спорта и подведомственные организации</t>
  </si>
  <si>
    <t>частично</t>
  </si>
  <si>
    <t>нет</t>
  </si>
  <si>
    <t>2.1</t>
  </si>
  <si>
    <t>-</t>
  </si>
  <si>
    <t>Оказание услуг по организации сеансов свободного плавания для лиц, достигших возраста 55 лет (для мужчин), и 50 лет (для женщин), инвалидов, детей-сирот, детей, оставшихся без попечения родителей</t>
  </si>
  <si>
    <t xml:space="preserve">Министерство спорта МО </t>
  </si>
  <si>
    <t>Ежегодное назначение и выплата единовременного денежного вознаграждения спортсменам и их тренерам</t>
  </si>
  <si>
    <t xml:space="preserve">Расходы на оплату проезде и провоза багажа осуществлялись  по факту.     </t>
  </si>
  <si>
    <t xml:space="preserve">Ежегодная организация оздоровительного процесса в плавательном бассейне ГОУП "УСДЦ" и муниципальных образованиях МО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</si>
  <si>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Министерство спорта МО, администрации муниципальных образований МО</t>
  </si>
  <si>
    <t xml:space="preserve">Строительство объекта «Лыжная база в городе Полярные Зори Мурманской области» </t>
  </si>
  <si>
    <t>Капитальный ремонт «Безопорной буксировочной канатной дороги на горнолыжном склоне по ул. Гагарина в   г. Полярном ЗАТО Александровск»</t>
  </si>
  <si>
    <t>Спортивная команда по хоккею с мячом "Мурман"в сезоне 2020-2021 гг.  принимала участие в чемпионате России Суперлиги. По тогам сезона заняла 13 место. С ноября т.г. начат новый сезон 2021-2022 гг.</t>
  </si>
  <si>
    <t>П1.1.</t>
  </si>
  <si>
    <t>П1.1.1.</t>
  </si>
  <si>
    <t>П1.1.2.</t>
  </si>
  <si>
    <t>П1.1.3.</t>
  </si>
  <si>
    <t>Организована церемония награждения победителям и призерам соревнований Всероссийского и международного уровней</t>
  </si>
  <si>
    <t xml:space="preserve">Компенсация  расходов на оплату стоимости проезда и провоза багажа к месту использования отпуска и обратно лицам работающим в организациях,финансируемых из областного бюджета </t>
  </si>
  <si>
    <t>Приобретено оборудование, инвентарь и экипировка для спортивных школ, осуществляющих спортивную подготовку, спортсмены направлены на тренировочные мероприятия и спортивные соревнования</t>
  </si>
  <si>
    <t xml:space="preserve">Региональный проект «Спорт - норма жизни»  </t>
  </si>
  <si>
    <t>П 2.1.</t>
  </si>
  <si>
    <t>П 2.1.1.</t>
  </si>
  <si>
    <t>П 2.1.2.</t>
  </si>
  <si>
    <t>П 3.1</t>
  </si>
  <si>
    <t>П.3.1.1</t>
  </si>
  <si>
    <t>П.3.1.2.</t>
  </si>
  <si>
    <t>П 3.1.3</t>
  </si>
  <si>
    <t xml:space="preserve">Министерство спорта МО и подведомственные учреждения администрации </t>
  </si>
  <si>
    <t>Министерство спорта МО  и Минстрой МО</t>
  </si>
  <si>
    <t xml:space="preserve">Численность спортсменов МО включенных в список кандидатов в споривне сборные команды РФ 2.4. Доля спортсменов рязрядников в общем количестве лиц, занимающихся в системе спортивнх школ. </t>
  </si>
  <si>
    <t xml:space="preserve">  Крытый бассейн в ЗАТО г. Североморск</t>
  </si>
  <si>
    <t>Минстрой МО, МБУ "АХТО"</t>
  </si>
  <si>
    <t>строительный объем здания - 24 791,5 куб. м, пропускная способность бассейна - 42 чел/час, пропускная способность фитнес-зала - 34 чел./час</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</si>
  <si>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а также с оплатой труда и начислениями на оплату труда работников</t>
  </si>
  <si>
    <t>Установлено оборудование и инвентарь, отделение по хоккею принимает участие в официальных мероприятиях</t>
  </si>
  <si>
    <t>Общая стоимость объекта, тыс. рублей &lt;**&gt;</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</si>
  <si>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</si>
  <si>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</si>
  <si>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Предусмотрено программой на год, тыс. рублей &lt;**&gt;</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</si>
  <si>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</si>
  <si>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</si>
  <si>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Степень выполнения  &lt;***&gt; % </t>
  </si>
  <si>
    <t>Техническая готовность объекта  &lt;****&gt;%</t>
  </si>
  <si>
    <t>Остаточная стоимость работ, тыс. рублей &lt;*****&gt;</t>
  </si>
  <si>
    <t>&lt;***&gt; Отношение объемов, указанных в графе "Выполнено за счет средств, предусмотренных на год", к объемам, предусмотренным на год в государственной программе.</t>
  </si>
  <si>
    <t>&lt;****&gt; 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</si>
  <si>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&lt;*****&gt; Рассчитывается исходя из общей стоимости объекта и общего объема кассовых расходов по состоянию на конец отчетного периода.</t>
  </si>
  <si>
    <t>Создание и функционирование «Агентство по проведению спортивно-массовых и культурно-зрелищных мероприятий «СпортКульт51»</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</si>
  <si>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по виду спорта "футбол" </t>
  </si>
  <si>
    <t>Предоставление грантов в форме субсидий государственным областным и муниципальным общеобразовательным организациям, не являющимся казенными учреждениями, на развитие школьных спортивных клубов</t>
  </si>
  <si>
    <t>Предоставление грантов в форме субсидии муниципальным учреждениям по итогам соревнований «Кубок Губернатора Мурманской области среди школьных спортивных клубов»</t>
  </si>
  <si>
    <t xml:space="preserve">Субсидии муниципальным образованиям на развитие физкультурно-спортивной работы </t>
  </si>
  <si>
    <t>Субсидия муниципальным образованиям на открытие спортивных пространств для молодежи</t>
  </si>
  <si>
    <t>1.2.6</t>
  </si>
  <si>
    <t xml:space="preserve">Государственная программа "Физическая культура и спорта" </t>
  </si>
  <si>
    <t>Подпрограмма 1 "Развитие массового спорта, реализация мероприятий по профилактике терроризма и информированию граждан"</t>
  </si>
  <si>
    <t>Основное мероприятие 2                                 "Поддержка социально-ориентированных некоммерческих организаций, осуществляющих деятельность в сфере физической культуры и спорта"</t>
  </si>
  <si>
    <t>1.2.7</t>
  </si>
  <si>
    <t>1.2.9</t>
  </si>
  <si>
    <t>1.2.10</t>
  </si>
  <si>
    <t>1.2.11</t>
  </si>
  <si>
    <t>Подпрограмма 2 "Подготовка спортивного резерва, реализация календарного плана официальных физкультурных мероприятий и спортивных мероприятий Мурманской области"</t>
  </si>
  <si>
    <t xml:space="preserve">Основновное мероприятие 1 "Подготовка спортивного резерва , организация и проведение физкультурных и спортивных меропритяий , реализация программ споривной подготовки подведомственными Министерсту учреждениями" </t>
  </si>
  <si>
    <t>Выплата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на Олимпийских, Паралимпийских и Сурдлимпийских Играх, чемпионатах, Кубка мира и Европы, чемпионатах России</t>
  </si>
  <si>
    <t>2.1.11</t>
  </si>
  <si>
    <t>2.1.15</t>
  </si>
  <si>
    <t>Проведение мероприятий международного традиционного Праздника Севера и Праздника Севера учащихся</t>
  </si>
  <si>
    <t>2.1.17</t>
  </si>
  <si>
    <t>Субсидия на реализацию мероприятий по приобретению спортивного оборудования и инвентаря для организации и проведения спортивных мероприятий по хоккею</t>
  </si>
  <si>
    <t>2.1.18</t>
  </si>
  <si>
    <t>Реализация мероприятий по приобретению оборудования и инвентаря для организации работы Парка Патриот</t>
  </si>
  <si>
    <t xml:space="preserve">Основное мероприятие 2 "Поддержка спортивных организаций, осуществляющих спортивную подготовку в соответствии с федеральными стандартами спортивной подготовки" </t>
  </si>
  <si>
    <t>Субсидии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t>
  </si>
  <si>
    <t>3.1.17.</t>
  </si>
  <si>
    <t>Разработка проектной документации "Крытого катка с искусственным льдом в г. Кандалакше"</t>
  </si>
  <si>
    <t>Разработка проектно-сметной документации на строительство лыжной трассы в ЗАТО Видяево</t>
  </si>
  <si>
    <t>Лыжная трасса в ЗАТО Александровск</t>
  </si>
  <si>
    <t>Разработка ПСД на строительство лыжной трассы в ЗАТО  Заозерск</t>
  </si>
  <si>
    <t>Проект благоустройства общественной территории западной части комплекса "Долина Уюта" в границах улиц Ломоносова, Морской, Лыжного проезда и Кольского проспекта в городе Мурманск</t>
  </si>
  <si>
    <t xml:space="preserve">Устройство асфальто-бетонного покрытия лыжероллерной трассы в спорткомплексе "Долина Уюта" </t>
  </si>
  <si>
    <t xml:space="preserve">Подготовка проектно-сметной документации и капитальный ремонт здания Дома физкультуры МУС "УСЦ", расположенного по адресу: г. Оленегорск, ул. Строительная, д.47 </t>
  </si>
  <si>
    <t xml:space="preserve">Субсидия на содержание и эксплуатацию государственного имущества </t>
  </si>
  <si>
    <t xml:space="preserve">Капитальный ремонт зданий и сооружений МБУ СШ «Олимп», г. Оленегорск                    </t>
  </si>
  <si>
    <t>Разработка проектной документации на капитальный ремонт спортивного объекта "Межшкольный стадион" ЗАТО Видяево</t>
  </si>
  <si>
    <t>МБУДО "ДЮСШ" Капитальный ремонт универсального спортзала , расположеного по адресу г. Снежногорск, ул. Октябрьская, 25А</t>
  </si>
  <si>
    <t>МБУ ДО ДЮСШ Ремонт мягкой кровли здания, расположенного по адресу г. Гаджиево, ул. Душенова д. 86/А</t>
  </si>
  <si>
    <t>Капитальный ремонт (освещение, установка раздевалок) лыжной трассы в г. Заполярный</t>
  </si>
  <si>
    <t>Капитальный ремонт спортивно-оздоровительного комплекса МАУ СШОР № 1 г. Мончегорск</t>
  </si>
  <si>
    <t>Капитальный ремонт фасада здания водной станции МАУ "СШОР №1" г. Мончегорск</t>
  </si>
  <si>
    <t>Капитальный ремонт кровли и помещений спорткомплекса ДЮСШ п.Ревда</t>
  </si>
  <si>
    <t>Капитальный ремонт спорткомплекса Долина Уюта (разработка проектной документации на ремонт фасадов и ливневой канализации)</t>
  </si>
  <si>
    <t>Разработка концепции "Реконструкция объекта спорта "Центральный стадион профсоюзов"</t>
  </si>
  <si>
    <t>Основное мероприятие 3 «Закупка оборудования для создания «умных» спортивных площадок в рамках Федерального проекта «Бизнес-спринт (Я выбираю спорт)»</t>
  </si>
  <si>
    <t xml:space="preserve"> 3.3.1</t>
  </si>
  <si>
    <t>Реализация мероприятий по закупке оборудования для создания умных» спортивных площадок</t>
  </si>
  <si>
    <t>3.2.2</t>
  </si>
  <si>
    <t>3.2.3</t>
  </si>
  <si>
    <t>3.2.11</t>
  </si>
  <si>
    <t>3.2.16</t>
  </si>
  <si>
    <t>3.2.17</t>
  </si>
  <si>
    <t>3.2.19</t>
  </si>
  <si>
    <t>3.2.20</t>
  </si>
  <si>
    <t>3.2.21</t>
  </si>
  <si>
    <t xml:space="preserve"> затраты, направленные на подготовку спортивного резерва в соответствии с федеральными стандартами  спортивной подготовки и подготовки спортсменов -кандидатов в спортивные сборные команды России по видам спорта</t>
  </si>
  <si>
    <t>Министерство спорта МО и подведомственные Минспорту МО организации</t>
  </si>
  <si>
    <t>3.1.19.</t>
  </si>
  <si>
    <t>Разработка ПСД на строительство горнолыжного подъемника МБОУ ДО ДЮСШ п.Ревда, Ловозерского района на горе Кедыквырпахк</t>
  </si>
  <si>
    <t>3.2.28</t>
  </si>
  <si>
    <t>ОМ 3.3</t>
  </si>
  <si>
    <t>ОМ 1.2.</t>
  </si>
  <si>
    <t>Да</t>
  </si>
  <si>
    <t>Предоставление  субсидий государственным областным и муниципальным общеобразовательным организациям, не являющимся казенными учреждениями, на развитие школьных спортивных клубов</t>
  </si>
  <si>
    <t>Предоставлены  субсидии 46 государственным областным и муниципальным общеобразовательным организациям, не являющимся казенными учреждениями, на развитие школьных спортивных клубов</t>
  </si>
  <si>
    <t>Предоставление  субсидии муниципальным учреждениям по итогам соревнований «Кубок Губернатора Мурманской области среди школьных спортивных клубов»</t>
  </si>
  <si>
    <t>Частично</t>
  </si>
  <si>
    <t xml:space="preserve">Субсидии предоставлены 5 муниципальным образованиям (Апатиты, Мурманск, Ковдорский район, ЗАТО Александровск) на развитие физкультурно-спортивной работы </t>
  </si>
  <si>
    <t xml:space="preserve">Предоставление субсидии муниципальным образованиям на развитие физкультурно-спортивной работы </t>
  </si>
  <si>
    <t>Предоставление субсидии муниципальным образованиям на открытие спортивных пространств для молодежи</t>
  </si>
  <si>
    <t>Субсидии предоставлены 5 муниципальным образованиям ( Апатиты, Кировск, Оленегорск, Печенгский район, Полярные Зори) на открытие спортивных пространств для молодежи</t>
  </si>
  <si>
    <t>Предоставлены  субсидии 15 школьным спортивным клубам  по итогам соревнований «Кубок Губернатора Мурманской области среди школьных спортивных клубов»</t>
  </si>
  <si>
    <t>Поставка спортивно-технологического оборудования для создания малых спортивных площадок</t>
  </si>
  <si>
    <t>Приобретение оборудования и инвентаря для организации работы Парка Патриот</t>
  </si>
  <si>
    <t>Министерство спорта МО, ГАУМО "ЦСП"</t>
  </si>
  <si>
    <t>ГОУП "УСДЦ"</t>
  </si>
  <si>
    <t>Реализация мероприятий по приобретению спортивного оборудования и инвентаря для приведения  организаций спортивной подготовки в нормативное состояние</t>
  </si>
  <si>
    <t>Министерство спорта МО, подведомственные организации</t>
  </si>
  <si>
    <t>Закупка оборудования для создания умных» спортивных площадок</t>
  </si>
  <si>
    <t>Приобретение и установка в 2022 году 2 спортивнх площадок</t>
  </si>
  <si>
    <t>Приобретено и установлено  2 спортивные площадки (Кола, Зеленоборский)</t>
  </si>
  <si>
    <t xml:space="preserve">Ежегодно реализация государственных функций и оказание государственных услуг </t>
  </si>
  <si>
    <t>Министерстов строительства МО, администрация муниципального образования</t>
  </si>
  <si>
    <t>Объект «Лыжная база в г. Полярные Зори с подведомственной территорией Мурманской области»</t>
  </si>
  <si>
    <t>Разработка ПСД</t>
  </si>
  <si>
    <t>Разработка проекта</t>
  </si>
  <si>
    <t>Министерстово строительства МО, администрация муниципального образования</t>
  </si>
  <si>
    <t xml:space="preserve">Министерство строительства МО, ГОКУ "УКС МО" </t>
  </si>
  <si>
    <t>Министерстово спорта МО, администрация муниципального образования</t>
  </si>
  <si>
    <t>Министерство спорта</t>
  </si>
  <si>
    <t>600-ПП от 28.07.2022 принята Адресная инвестиционная программа.  С целью разработки визуальной концепции и расчетом затрат на реализацию проекта Министерство спорта запросило средства из резервного фонда на разработку концепции. Осуществляется подготовка соглашения на разработку концепции с ООО "Институт Спортивных Сооружений".</t>
  </si>
  <si>
    <t>Физкультурно-оздоровительный комплекс с бассейном в г. Заозерске</t>
  </si>
  <si>
    <t>Физкультурно-оздоровительный комплекс со специализированной школой по самбо, дзюдо и вольной борьбе в г. Кандалакше</t>
  </si>
  <si>
    <t>Минстрой МО,
администрация муниципального образования городской округ ЗАТО г. Заозерск МО</t>
  </si>
  <si>
    <t>Минстрой МО,
Комитет имущественных отношений и территориального планирования администрации муниципального образования Кандалакшский муниципальный район МО</t>
  </si>
  <si>
    <t>Общая площадь - 3087,40 кв. м,
пропускная способность - 74 чел. в смену</t>
  </si>
  <si>
    <t>Общая площадь здания - 3124 кв. м.
Пропускная способность - 84 чел. в смену</t>
  </si>
  <si>
    <t>2019 - 2020 - разработка ПСД, заключение госэкспертизы,
2021 - 2022 - строительство,
2022 - ввод объекта в эксплуатацию</t>
  </si>
  <si>
    <t>2020 - разработка ПСД, заключение госэкспертизы,
2021 - 2022 - строительство,
2022 - ввод объекта в эксплуатацию</t>
  </si>
  <si>
    <t>Минспорт МО</t>
  </si>
  <si>
    <t xml:space="preserve">2021 – разработка ПД, заключение госэкспертизы, 2022-2023 – строительство, 2022 – ввод объекта в эксплуатацию </t>
  </si>
  <si>
    <t xml:space="preserve">,
509 175,0
</t>
  </si>
  <si>
    <t xml:space="preserve">площадь застройки - 560,9 кв. м.
общая площадь - 498,0 кв. м.
строительный объем - 2266,0 куб. м
</t>
  </si>
  <si>
    <t xml:space="preserve">2022 - разработка ПД
</t>
  </si>
  <si>
    <t xml:space="preserve">119 225,8
</t>
  </si>
  <si>
    <t xml:space="preserve">Будет установлена после разработки ПД
</t>
  </si>
  <si>
    <t xml:space="preserve">Минстрой МО,
администрация муниципального образования Кандалакшский муниципальный район МО
</t>
  </si>
  <si>
    <t xml:space="preserve">Минстрой МО,
администрация муниципального образования городской округ ЗАТО п. Видяево МО
</t>
  </si>
  <si>
    <t xml:space="preserve">Минстрой МО,
администрация муниципального образования городской округ ЗАТО Александровск МО
</t>
  </si>
  <si>
    <t xml:space="preserve">6717,2
(стоимость будет определена после разработки ПСД)
</t>
  </si>
  <si>
    <t xml:space="preserve">5000,0
(стоимость будет определена после разработки ПД)
</t>
  </si>
  <si>
    <t xml:space="preserve">6717,2
(стоимость будет определена после разработки ПД)
</t>
  </si>
  <si>
    <t xml:space="preserve">6815,8
(стоимость будет определена после разработки ПД)
</t>
  </si>
  <si>
    <t xml:space="preserve">Минстрой МО,
администрация муниципального образования городской округ ЗАТО г. Заозерск МО
</t>
  </si>
  <si>
    <t xml:space="preserve">500 275,8
</t>
  </si>
  <si>
    <t xml:space="preserve">Минстрой МО, ГОКУ "УКС"
</t>
  </si>
  <si>
    <t xml:space="preserve">412 399,2
</t>
  </si>
  <si>
    <t xml:space="preserve">будет установлена после разработки ПД
</t>
  </si>
  <si>
    <t>мероприятие не реализуется</t>
  </si>
  <si>
    <t>Мероприятие не реализуется. Объем денежных средств на разработку ПД недостаточный.</t>
  </si>
  <si>
    <t xml:space="preserve"> Мероприятие не реализуется. Объем денежных средств на разработку ПД недостаточный.</t>
  </si>
  <si>
    <t>Мероприятие не реализуется в связи с тем, что земельный участок находится в федеральной собственности</t>
  </si>
  <si>
    <t>Проектная документация разработана. Направлена в государственную экспертизу  в целях определения достоверности сметной стоимости.</t>
  </si>
  <si>
    <t>работы завершены в полном объеме</t>
  </si>
  <si>
    <t xml:space="preserve">Предоставление субсидий из областного бюждета некоммерческим организациям , осуществляющим деятельность в сфере физической культуры и спорта по виду спорта "Хоккей" </t>
  </si>
  <si>
    <t>Предоставлена субсидия на возмещение расходов на подготовку и участие спортивной команды в спортивных и физкультурных мероприятиях</t>
  </si>
  <si>
    <t>В 2022 году проведено 30 мероприятий международного традиционного Праздника Севера и Праздника Севера учащихся</t>
  </si>
  <si>
    <t>Спортивная команда по хоккею "Арктика" принимала участие в Первенстве НМХЛ сезона 2021-2022 гг. В городе Кондопога с 23-25 августа участвовала в Турнире на Кубок Главы Республики Карелия. Игры проходили с командами из МХЛ.</t>
  </si>
  <si>
    <t>Государственная поддержка спортивных организаций , осуществляющих подгтовку спортивного резерва для споривных сборных команд,в том числе спортивных сборных коман РФ</t>
  </si>
  <si>
    <t>Приобретение спортивного оборудования и инвентаря</t>
  </si>
  <si>
    <t xml:space="preserve">Приобретение спортивного оборудования и инвентаря </t>
  </si>
  <si>
    <t>Приобретение имущества (за исключением недвижимого имущества)</t>
  </si>
  <si>
    <t xml:space="preserve">Министерство спорта и подведомственные учреждения Минспорту МО </t>
  </si>
  <si>
    <t>Министерство Спорта, Минстрой МО,ГОКУ "УКС МО", ГОУП УСДЦ, администрации муниципальных образований</t>
  </si>
  <si>
    <t>Министерство Спорта МО, Минстрой МО, ГОКУ "УКС МО", ГОУП УСДЦ, администрации муниципальных образований</t>
  </si>
  <si>
    <t>Приобретение имущества</t>
  </si>
  <si>
    <t>Государственная программа, подпрограмма, показатель</t>
  </si>
  <si>
    <t>Ед. изм.</t>
  </si>
  <si>
    <t>Направленность</t>
  </si>
  <si>
    <t>Значение показателя</t>
  </si>
  <si>
    <t>Степень достижения показателя (ДП)*</t>
  </si>
  <si>
    <t>Динамика значения показателя по сравнению с предшествующим годом (Дин)*</t>
  </si>
  <si>
    <t>Причины отклонения от плана и (или) отсутствия положительной динамики</t>
  </si>
  <si>
    <t>Предлагаемые меры по улучшению значений показателя</t>
  </si>
  <si>
    <t>Соисполнитель, ответственный за выполнение показателя</t>
  </si>
  <si>
    <t>Степень достижения показателя для расчета К1**</t>
  </si>
  <si>
    <t>Динамика значения показателя для расчета К2**</t>
  </si>
  <si>
    <t>2021 год</t>
  </si>
  <si>
    <t>Факт</t>
  </si>
  <si>
    <t>План</t>
  </si>
  <si>
    <t>Государственная программа «Развитие физической культуры и спорта в Мурманской области»</t>
  </si>
  <si>
    <t>0.1</t>
  </si>
  <si>
    <t>Доля населения, систематически занимающегося физической культурой и спортом, в общей численности населения</t>
  </si>
  <si>
    <t>%</t>
  </si>
  <si>
    <t>Ввод в эксплуатацию новых спортивных сооружений</t>
  </si>
  <si>
    <t>Министерство спорта Мурманской области</t>
  </si>
  <si>
    <t>0.2</t>
  </si>
  <si>
    <t xml:space="preserve">Количество спортивных сооружений </t>
  </si>
  <si>
    <t>ед. на 100 тыс. населения</t>
  </si>
  <si>
    <t>Подпрограмма 1 «Развитие массового спорта, реализация мероприятий по информированию граждан»</t>
  </si>
  <si>
    <t>Доля детей и молодежи, систематически занимающихся физической культурой и спортом, в общей численности детей и молодежи (возраст 3 - 29 лет)</t>
  </si>
  <si>
    <t>Доля граждан среднего возраста, систематически занимающихся физической культурой и спортом, в общей численности граждан среднего возраста (женщины 30 - 54 года; мужчины 30 - 59 лет)</t>
  </si>
  <si>
    <t>Доля граждан старшего возраста, систематически занимающихся физической культурой и спортом, в общей численности граждан старшего возраста (женщины 55 - 79 лет; мужчины 60 - 79 лет)</t>
  </si>
  <si>
    <t>Доля граждан Мурманской области, занимающихся физической культурой и спортом по месту работы, в общей численности населения, занятого в экономике</t>
  </si>
  <si>
    <t>Подпрограмма 2 «Подготовка спортивного резерва»</t>
  </si>
  <si>
    <t>Численность спортсменов МО, включенных в список кандидатов в спортивные сборные команды Российской Федерации</t>
  </si>
  <si>
    <t>чел.</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</si>
  <si>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t>
  </si>
  <si>
    <t>Доля граждан в возрасте 6-15 лет, занимающихся в спортивных организациях, в общей численности детей и молодежи в возрасте 6-15 лет</t>
  </si>
  <si>
    <t>Проведение административной и методической работы с администрациями и тренерским составом учреждений сферы ФКиС</t>
  </si>
  <si>
    <t>Доля спортсменов-разрядников в общем количестве лиц, занимающихся в системе спортивных школ олимпийского резерва</t>
  </si>
  <si>
    <t>Подпрограмма 3 «Развитие спортивной инфраструктуры»</t>
  </si>
  <si>
    <t>Единовременная пропускная способность объектов спорта (к всероссийскому нормативу)</t>
  </si>
  <si>
    <t>Количество спортивных сооружений, в которых осуществлен капитальный и текущий  ремонт</t>
  </si>
  <si>
    <t>ед.</t>
  </si>
  <si>
    <t>=</t>
  </si>
  <si>
    <t>Эффективность использования существующих объектов спорта</t>
  </si>
  <si>
    <t>Единовременная пропускная способность объектов спорта, введенных в эксплуатацию в рамках Программы</t>
  </si>
  <si>
    <t>*Состав подпрограмм и показателей государственной программы, единицы измерения, направленность, плановые значения показателей и соисполнители, ответственные за их выполнение, указываются в соответствии с редакцией государственной программы, действующей по состоянию на конец отчетного периода.</t>
  </si>
  <si>
    <t>**Степень достижения показателя (ДП) и динамика значения показателя (Дин) определяются в соответствии с пунктами 2 и 4 приложения № 1 к Порядку.</t>
  </si>
  <si>
    <t>***В случае отсутствия официальных фактических данных за отчетный период дополнительно в данной графе указываются слова «Предварительные данные» или «Оценка», указывается способ определения оценочного значения показателя и ожидаемый срок получения фактических значений.</t>
  </si>
  <si>
    <t>****Степень достижения показателя для расчета К1 и Динамика значения показателя для расчета К2 определяются и указываются для каждого показателя в отдельности с учетом условий, указанных соответственно в пунктах 3 и 5 приложения № 1 к Порядку. Критерии К1 и К2 для государственной программы в целом рассчитываются с учетом всех показателей программы и подпрограмм.</t>
  </si>
  <si>
    <t>&lt;**&gt; В случае если мера государственного регулирования влияет на достижение целей нескольких подпрограмм или государственной программы в целом, то она отражается в подпрограмме, направленной на обеспечение реализации государственной программы (управление государственной программой).</t>
  </si>
  <si>
    <t>&lt;*&gt; В случае если соответствующие правила или порядок включены в состав государственной программы, указывается номер приложения к государственной программе.</t>
  </si>
  <si>
    <t>Приняты</t>
  </si>
  <si>
    <t>Подпрограмма 4 "Обеспечение реализации государственной программы" **</t>
  </si>
  <si>
    <t xml:space="preserve">Информация о реализации
</t>
  </si>
  <si>
    <t>Связь с показателями ГП</t>
  </si>
  <si>
    <t xml:space="preserve">Нормативный акт &lt;*&gt;
</t>
  </si>
  <si>
    <t>Цель предоставления (применения)</t>
  </si>
  <si>
    <t>Группа и наименование вида поддержки, меры регулирования</t>
  </si>
  <si>
    <t>Вид документа</t>
  </si>
  <si>
    <t>Перечень механизмов финансовой поддержки и иных мер государственного регулирования в сфере реализации государственной программы</t>
  </si>
  <si>
    <t>К2 (динамика значений показателей по сравнению с 2020 годом)</t>
  </si>
  <si>
    <t>Государственная программа «Развитие физической культуры и спорта»</t>
  </si>
  <si>
    <t>Подпрограмма 2 «Подготовка спортивного резерва, реализация спортивного плана  официальныз спортивных меропиятий и спорт.мероприятий Мурманской области»</t>
  </si>
  <si>
    <t>Поставлено спортивно-технологическое оборудование для создания малой спортивных площадки в Зверосовхозе и Кильдинстрое</t>
  </si>
  <si>
    <t>Сведения о достижении значений показателей государственной программы в 2022 году</t>
  </si>
  <si>
    <t>Оценка эффективности реализации государственной программы «Развитие физической культуры и спорта» в 2022 году</t>
  </si>
  <si>
    <t>Сведения о ходе реализации мероприятий государственной программы за  2022 год</t>
  </si>
  <si>
    <t>Обучены плаванию 921 чел.</t>
  </si>
  <si>
    <t xml:space="preserve">В плавательных бассейнах Мурманской области услугой воспользовались 7778 человек </t>
  </si>
  <si>
    <t>Выплачено 107 спортсменам и тренерам</t>
  </si>
  <si>
    <t>Приобретено оборудование и инвентарь для организации работы Парка Патриот</t>
  </si>
  <si>
    <t xml:space="preserve">О внесении изменений в государственную программу Мурманской области "Развитие физической культуры и спорта":
 от 02.02.2022 № 61-ПП,
 от 21.02.2022 № 104-ПП, 
от 29.04.2022 № 342-ПП, 
от 28.06.2022 № 501-ПП,
от 10.08.2022 № 644-ПП,
от 10.10.2022 № 795-ПП,
от 26.10.2022 № 845-ПП,
от 15.12.2022 № 1014-ПП
</t>
  </si>
  <si>
    <t>Оборудование закуплено для создания умных» спортивных площадок</t>
  </si>
  <si>
    <t>Выполнен капитальный ремонт искусственного покрытия футбольного поля с легкоатлетическими дорожками ЗАТО Александровск</t>
  </si>
  <si>
    <t>произведены расходы по выплате заработной платы, содержанию имущества (коммунальные расходы)</t>
  </si>
  <si>
    <t>Информация о ходе работ на объектах капитального строительства за  2022 года</t>
  </si>
  <si>
    <t>По состоянию на 01.01.2022, тыс. рублей</t>
  </si>
  <si>
    <t>За 12 месяцев 2022 года, тыс. рублей</t>
  </si>
  <si>
    <t>Работы в 2022 году по объекту не производились ввиду отсутствия положительного заключения государственной экспертизы</t>
  </si>
  <si>
    <t>Задержка сроков выполнения работ обусловлена сложной экономической обстановкой в стране, проведением СВО на территории РФ и проведением частичной мобилизации. В результате данных событий у подрядчика  возникли сложности с поиском и наймом рабочего персонала субподрядных организаций.  В условиях выполнения СВО на территории России, действия санкционных ограничений и перестройки логистических цепочек ряд контрагентов задерживает поставки строительных материалов и оборудования, увеличивали сроки производства . Кроме того, 15.11.2022 г. в ООО "Атлант" (подрядчик) произошли вынужденные кадровые изменения, в результате которых произошла смена ответственного лица за производство строительно-монтажных работ в соответствии с проектной документацией, строительными нормами и правилами, техническими условиями, техническими регламентами и другими нормативными документами, а также за охрану труда и пожарную безопасность на объекте.</t>
  </si>
  <si>
    <t xml:space="preserve">Мероприятие не реализуется. </t>
  </si>
  <si>
    <t xml:space="preserve">Проектная документация разработана. Не получено положительное заключение государственной экспертизы, в связи с чем Подрядной организации не были перечислены средства субсидии.Причиной неисполнения в отчетном финансовом году обязательств по муниципальному контракту явилось то, что в ходе выполнения необходимых изысканий производилось уточнение прохождения трассы и связанных с этим геодезических съемок, что привело за собой затягивание сроков выполнения работ. В результате подрядчик направил ПД в экспертизу 05.12.2022. </t>
  </si>
  <si>
    <t xml:space="preserve">Проектная документация разработана. Не получено положительное заключение государственной экспертизы. Нарушение подрядной организацией срока выполнения работ по контракту </t>
  </si>
  <si>
    <t>Разрешение на ввод получено 30.12.2022</t>
  </si>
  <si>
    <t>Здание лыжной базы построено, завершены работы по устройству сетей водоснабжения и канализации, линии уличного освещения, благоустройству территории, построен бокс для ратрака. Ведутся работы по внутренней отделке помещений, монтажу оборудования, сетей электроснабжения и установке комплектной трансформаторной подстанции</t>
  </si>
  <si>
    <t>Задержка сроков выполнения работ ввиду сложной экономической обстановкой в стране, проведением СВО на территории РФ и проведением частичной мобилизации. В результате данных событий у подрядчика  возникли сложности с поиском и наймом рабочего персонала субподрядных организаций.  В условиях выполнения СВО на территории России, действия санкционных ограничений и перестройки логистических цепочек ряд контрагентов задерживает поставки строительных материалов и оборудования, увеличивали сроки производства . Кроме того, 15.11.2022 г. в ООО "Атлант" (подрядчик) произошли вынужденные кадровые изменения, в результате которых произошла смена ответственного лица за производство строительно-монтажных работ в соответствии с проектной документацией, строительными нормами и правилами, техническими условиями, техническими регламентами и другими нормативными документами, а также за охрану труда и пожарную безопасность на объекте.</t>
  </si>
  <si>
    <t>Мероприятие не реализуется.</t>
  </si>
  <si>
    <t xml:space="preserve">Не получено положительное заключение государственной экспертизы, в связи с чем Подрядной организации не были перечислены средства субсидии.Причиной неисполнения в отчетном финансовом году обязательств по муниципальному контракту явилось то, что в ходе выполнения необходимых изысканий производилось уточнение прохождения трассы и связанных с этим геодезических съемок, что привело за собой затягивание сроков выполнения работ. В результате подрядчик направил ПД в экспертизу 05.12.2022. </t>
  </si>
  <si>
    <t xml:space="preserve">Проектная документация разработана и направлена в государственную экспертизу. В настоящее время положительное заключение государственной экспертизы не получено, в связи с чем Подрядной организации не были перечислены средства субсидии в 2022 году. </t>
  </si>
  <si>
    <t>Нераспределенные средства при реализации мероприятия.</t>
  </si>
  <si>
    <t>Инженерные изыскания завершены в полном объеме.  Проектная документация разрабатывается (контракт от 05.10.2022 № П-ИМЗ-2022-016313-5).</t>
  </si>
  <si>
    <t>Не получено положительное заключение государственной экспертизы. По условиям муниципального контракта исполнение работ осуществлялось до 08.12.2022. В связи с непредоставлением исходных данных для проектирования, а именно  геологических извысканий подрядная организация ООО "Альп-Проект" направлено обращение в адрес администрации Ловозерского района от 01.12.2022 № 420 о переносе сроков выполнения работ по проектированию.</t>
  </si>
  <si>
    <t>Работы завершены в полном объеме.</t>
  </si>
  <si>
    <t>Работы по устройству асфальто-бетонного покрытия  завершены.</t>
  </si>
  <si>
    <t>Работы по устройству асфальто-бетонного покрытия  завершены. Не оплачены  работы по выравниванию обочины трассы.</t>
  </si>
  <si>
    <t>Работы по объекту завершены в полном объеме</t>
  </si>
  <si>
    <t>3.2.18</t>
  </si>
  <si>
    <t xml:space="preserve">Проектная документация разработана. Направлена в государственную экспертизу  </t>
  </si>
  <si>
    <t>Проектная документация разработана и направлена в государственную экспертизу. В настоящее время положительное заключение государственной экспертизы не получено,  в связи с чем Подрядной организации не были перечислены средства субсидии.</t>
  </si>
  <si>
    <t xml:space="preserve">работы завершены в полном объеме. </t>
  </si>
  <si>
    <t>Проектные работы не завершены, не получено положительное заключение государственной экспертизы</t>
  </si>
  <si>
    <t>Нарушение сроков исполнения контракта связано с невозможностью проектной организацией исполнить свои обязательства по контракту по причине длительности согласования проектных решений с Застройщиком.</t>
  </si>
  <si>
    <t>3.2.32.</t>
  </si>
  <si>
    <t>Капитальный ремонт фасада здания МАУ «СШОР» по адресу: Мурманская область, г. Мончегорск, Арена стадиона (верхнее футбольное поле)</t>
  </si>
  <si>
    <t>3.2.33.</t>
  </si>
  <si>
    <t>Капитальный ремонт стадиона. Благоустройство территории МАУ «СШОР» по адресу: Мурманская область, г. Мончегорск, пр. Кирова, д. 3</t>
  </si>
  <si>
    <t xml:space="preserve">Субсидия носит заявительный характер. </t>
  </si>
  <si>
    <t>Приобрели спортивное имущество для ГАУМО "ЦСП", МКУ "СШ по санному спорту", ГАУМО "Кировская СШОР"</t>
  </si>
  <si>
    <t>Приобретено оборудование и инвентарь по хоккею</t>
  </si>
  <si>
    <t>Приобретение оборудование и инвентарь по хоккею</t>
  </si>
  <si>
    <t>Министерство спорта МО, подведомственные усчреждения</t>
  </si>
  <si>
    <t>Приемка работ после получения заключения государсвенной экспертизы. Заключение экспертизы получено в 2023 году.</t>
  </si>
  <si>
    <t>По результатам конкурсного отбора было  заключено Соглашение с ГОУП "УСДЦ"   на финобеспечение затрат  по приобретению оборудования и инвентаря. Образовалась экономия в размере 2 194 667,0 рублей, которая возвращена в бюджет.</t>
  </si>
  <si>
    <t>Заключено Соглашение с ГОУП "УСДЦ"   на фин. обеспечение затрат  юридических лиц  в части  содержания государственного имущества. Образовалась экономия в размере 9 174 405,04 рублей, которая возвращена в бюджет.</t>
  </si>
  <si>
    <t>Конкурс не состоялся. Образовалась экономия в размере 4 400,0 рублей, которая возвращена в бюджет.</t>
  </si>
  <si>
    <t>Обучение навыкам плавания детей и подростков в возрасте  от 6 до 14 лет</t>
  </si>
  <si>
    <t>Предоставление компенцации расходов на оплату стоимости и провоза багажа при переезде</t>
  </si>
  <si>
    <t>Поощрения в рамках церемонии награждения спортсменов, тренеров, ветеранов спорта и физкультурного актива  Мурманской области</t>
  </si>
  <si>
    <t>2.1.14</t>
  </si>
  <si>
    <t>Ежегодное поощрение в рамках церемоний награждения спортсменов, тренеров, ветеранов спорта и физкультурного актива  Мурманской области с количеством награжденных не менее 3 человек</t>
  </si>
  <si>
    <t xml:space="preserve">Проведение инженерных изысканий территории для оценки возможности размещения спортивных объектов» </t>
  </si>
  <si>
    <t>2.1.20</t>
  </si>
  <si>
    <t>Заключен контракт на проведение инженерных изысканий</t>
  </si>
  <si>
    <t>1. Приобретено оборудование и инвентарь для ГАУМО "Комплексная СШОР" с целью осуществления спортивной подготовки по виду спорта "футбол" в количестве 163 ед.; 2. Приобретено оборудование и инвентарь для ГАУМО "Кандалкшская спортивная школа по санному спорту" с целью осуществления спортивной подготовки по виду спорта "санный спорт (натурбан)" в количестве 408 ед.</t>
  </si>
  <si>
    <t>Видеонаблюдение. Проектное решение по подготовке территории-основания и установке комплекта спортивно-технологического оборудования для создания физкультурно-оздоровительного комплекса открытого типа</t>
  </si>
  <si>
    <t>Дополнительные работы для создания физкультурно-оздоровительного комплекса открытого типа</t>
  </si>
  <si>
    <t>3.2.30</t>
  </si>
  <si>
    <t>3.2.31</t>
  </si>
  <si>
    <t>Министерство спорта МО, администрация муниципального образования МО</t>
  </si>
  <si>
    <t>Поставлено дополнительное оборудование для завершения работ по установке видеонаблюдения в рамках проектного решения по подготовке территории-основания и установке комплекта спортивно-технологического оборудования для создания физкультурно-оздоровительного комплекса открытого типа</t>
  </si>
  <si>
    <t>Проведены дополнительные работы в рамках создания физкультурно-оздоровительного комплекса открытого типа</t>
  </si>
  <si>
    <t xml:space="preserve">Остаток средств перенесен на 2023 год для подготовки основания.  </t>
  </si>
  <si>
    <t>2022 год</t>
  </si>
  <si>
    <t xml:space="preserve">Утверждены новые нормы, требования и условия их исполнения по летним видам спорта. Отсутствие заинтересованности у тренеров в оформлении массовых разрядов. </t>
  </si>
  <si>
    <t>Повышение физической активности населения региона</t>
  </si>
  <si>
    <t xml:space="preserve">Снижение показзателя связано:
- с уменьшением численности населения региона (вместе с родителями уезжают и дети);
- окончание школы, поступление в ВУЗы и СУЗы в других регионах
</t>
  </si>
  <si>
    <t xml:space="preserve">Снижение численности детей занимающихся в спортивных организациях, не выполнение спортсменами требований контрольно-переводных нормативов, отчисления по заявлению родителей, по состоянию здоровья 
</t>
  </si>
  <si>
    <t>Проведен комплекс инженерных изысканий для получения необходимых и достаточных материалов с целью дальнейшей подготовки проектной и рабочей документации по объекту «Манеж с полноразмерным футбольным полем» в 2022-2023 году</t>
  </si>
  <si>
    <t>1. В ГАУМО "Мончегорская спортивная школа олимпийского резерва по горнолыжному спорту" приобретено: лыжи с креплениями + палки - 120 шт., вешки - 325 шт.; 2. В ГАУМО "Кировская спортивная школа олимпийского резерва по горнолыжному спорту" приобретено: сеть защитная - 37 шт., вешки - 407 шт., электробыр - 12 шт., лыжи с креплениями 42 ед.</t>
  </si>
  <si>
    <t>2022 - капитальный ремонт искусственного покрытия футбольного поля с легкоатлетическими дорожками ЗАТО Александровск</t>
  </si>
  <si>
    <t xml:space="preserve">Возмещение затрат ГОУП «УСДЦ»  в части  содержания государственного имущества. </t>
  </si>
  <si>
    <t>Финансовое обеспечение затрат подведомственных учреждений, связанных с проведением текущих и капитальных ремонтных работ</t>
  </si>
  <si>
    <t xml:space="preserve">Текущие ремонты произведены в подведомственных учреждениях., и разработаны ПСД. </t>
  </si>
  <si>
    <t>2021-2022 годы Капитальный ремонт «Безопорной буксировочной канатной дороги на горнолыжном склоне по ул. Гагарина в г. Полярном ЗАТО Александровск»</t>
  </si>
  <si>
    <t xml:space="preserve">2022 год - выполнено устройство асфальто-бетонного покрытия лыжероллерной трассы в спорткомплексе "Долина Уюта" </t>
  </si>
  <si>
    <t xml:space="preserve">2022-2023 год - подготовлена проектно-сметной документации и капитальный ремонт здания Дома физкультуры МУС "УСЦ", расположенного по адресу: г. Оленегорск, ул. Строительная, д.47 </t>
  </si>
  <si>
    <t xml:space="preserve">Возмещение затрат ГОУП «УСДЦ»  в части  содержания и эксплуатации государственного имущества. </t>
  </si>
  <si>
    <t>2022 год - выполнен капитальный ремонт зданий и сооружений МБУ СШ «Олимп», г. Оленегорск</t>
  </si>
  <si>
    <t>2022 год - разработана проектная документация на капитальный ремонт спортивного объекта "Межшкольный стадион" г. Видяево</t>
  </si>
  <si>
    <t>2022 год - выполнен капитальный ремонт универсального спортзала МБУДО "ДЮСШ", расположеного по адресу г. Снежногорск, ул. Октябрьская, 25А</t>
  </si>
  <si>
    <t>Звание построено, выполнены работы по благосустройству, устройству инженерных сетей. 
В 2023 году завершены работы по отделке помещений,  монтажу и пуско-наладке оборудования.</t>
  </si>
  <si>
    <t>Минстрой МО, МАУ ДО "ДЮСШ" г. Полярные Зори</t>
  </si>
  <si>
    <t>Мероприятие не реализуется</t>
  </si>
  <si>
    <t>Здание построено, выполнены работы по благосустройству, устройству инженерных сетей. 
В 2023 году завершены работы по отделке помещений,  монтажу и пуско-наладке оборудования.
Приемка работ после получения заключения государственной экспертизы. Заключение экспертизы получено в 2023 году.</t>
  </si>
  <si>
    <t>Получение положительного заключения государственной экспертизы</t>
  </si>
  <si>
    <t>В МБУ ДО ДЮСШ ремонт мягкой кровли здания, расположенного по адресу г. Гаджиево, ул. Душенова д. 86/А</t>
  </si>
  <si>
    <t>Установка видеонаблюдения в рамках  проектного решения по подготовке территории-основания и установке комплекта спортивно-технологического оборудования для создания физкультурно-оздоровительного комплекса открытого типа</t>
  </si>
  <si>
    <t>Проведение дополнительных работ для создания физкультурно-оздоровительного комплекса открытого типа</t>
  </si>
  <si>
    <t xml:space="preserve">16.12.2022 проведена церемония награждения посвященная итогам 2022 года. В мероприятии приняли участие спортсмены, тренеры, ветераны спорта, представители региональных спортивных федераций. Вручены 30 денежных премий в размере 30 тыс. рублей каждания и памятные подарки и сувениры. </t>
  </si>
  <si>
    <t xml:space="preserve">Объект в частной собственности. Прийти к соглашению с собственником о цене объекта для приобретения не представляется возможным. В сложившейся ситуации возможно отчуждение объекта в рамках адресной инвестиционной программы по развитию территории. Для разработки адресной инвестиционной программы развития территории Центрального стадиона необходима визуальная концепция проекта.В соответствии с Положением о проектном финансировании инвестиционных проектов специализированной организацией по привлечению инвестиций и работе с инвесторами в Мурманской области Министерство спорта Мурманской области направило в адрес Корпорации развития Мурманской области ходатайство о рассмотрении возможности финансового участия АО «Корпорация развития Мурманской области» в ООО «ЦСП» (собственник стадиона) путем приобретения АО «Корпорация развития Мурманской области» 99,9% долей ООО «ЦСП» и 0,1% долей Государственным автономным учреждением Мурманской области «Центр спортивной подготовки» совместно с Государственным областным унитарным предприятием «Универсальный спортивный-досуговый центр» с целью дальнейшей реализации социально значимого проекта в соответствии с поручением Губернатора Мурманской области от 23.01.2020 № П-31/АЧ. «Предложения по модернизации Центрального стадиона Профсоюзов» и пунктом 39.1 Плана мероприятий по приоритетным направлениям развития Мурманской области до 2024 года и на период до 2030 года «НА СЕВЕРЕ – ЖИТЬ!». 
Министерство спорта Мурманской области в адрес Корпорации развития Мурманской области направило концепцию проекта от 25.11.2022 № 11-04/2831-СН. В рамках реализации предложений по модернизации Стадиона Министерством спорта Мурманской области предлагается строительство манежа с полноразмерным футбольным полем площадью не менее 3,49 га и зрительной зоной не менее 1500 мест.
</t>
  </si>
  <si>
    <t>Предоставлены гранты по 7 направлениям:
 - Организация физкультурной работы среди детей и подростков по месту жительства" грант получили Мурманская региональная общественная организация содействия ветеранам десантных войск - 400 000 и 1 физ. лицу в размере 300 000 (до вычета налога на доход).
- "Семейный спорт" грант получело физ. лицо в размере 300 000 (до вычета налога на доход).
- "Старшее поколение" грант получило 1 физ. лицо  в размере 300 000 (до вычета налога на доход).
 - "Адаптивный спорт" грант получило 1 физ. лицо  в размере 300 000 (до вычета налога на доход).
- "Национальные виды спорта"   грант получило 1 физ. лицо  в размере 300 000 (до вычета налога на доход).
- "Организация спортивно-массовой работы по экстримальным видам спорта" грант получили Ругиональная физкультурно-спортивная общественная организация "Федерация скейтбординга Мурманской области" в рамере 400 000 рублей и 1 физ. лицо  в размере 300 000 (до вычета налога на доход). 
- "Организация спортивно-массовой работы в сельской местности" грант получило 1 физ. лицо  в размере 300 000 (до вычета налога на доход).</t>
  </si>
  <si>
    <t xml:space="preserve">В период с 01.01.2022 г. по 31.12.2022г. АНО «СпортКульт51» организовала следующие мероприятия: 
1. ВСЕРОССИЙСКИЙ СПОРТИВНЫЙ ФЕСТИВАЛЬ «СПОРТИВНАЯ СТУДЕНЧЕСКАЯ НОЧЬ»
2. ОФОРМЛЕНИЕ ПРОСТРАНСТВА МАССОВОГО КАТАНИЯ В ЛЕДОВОМ ДВОРЦЕ
3. ЦЕРЕМОНИЯ ОТКРЫТИЯ «87 ПРАЗДНИКА СЕВЕРА» И «62 ПРАЗДНИКА СЕВЕРА УЧАЩИХСЯ»
4. СОПРОВОЖДЕНИЕ ЛИНЕЙНЫХ МЕРОПРИЯТИЙ «87 ПРАЗДНИКА СЕВЕРА»
5. МЕРОПРИЯТИЕ «РУССКАЯ ВЕСНА»
6. ФЕСТИВАЛЬ МОЛОДЕЖНЫХ СУБКУЛЬТУР. ЗИМНЯЯ ВЕРСИЯ 
7. ФЕСТИВАЛЬ ЗИМНИХ ДИСЦИПЛИН ПАРУСНОГО СПОРТА «ЭРИВЕЙВ»
8. ОТКРЫТИЕ И НАГРАЖДЕНИЕ 48 ЛЫЖНОГО МАРАФОНА "87 ПРАЗДНИКА СЕВЕРА" 
9. ЦЕРЕМОНИЯ ЗАКРЫТИЯ "87 ПРАЗДНИКА СЕВЕРА" 
10. ФИЗКУЛЬТУРНО-ОЗДОРОВИТЕЛЬНОЕ МЕРОПРИЯТИЕ «10 ТЫСЯЧ ШАГОВ К ЖИЗНИ»  
11. КУБОК АРКТИКИ АКВА-ШОУ «СЕВЕР НА ВОЛНЕ» 
12. ОТКРЫТИЕ СКЕЙТ – ПАРКА 
13. ЗАБЕГ.РФ
14. ФЕСТИВАЛЬ МОЛОДЕЖНЫХ СУБКУЛЬТУР. ЛЕТНЯЯ ВЕРСИЯ 
15. ТРЕЙЛОВЫЙ ЗАБЕГ "ВЫЗОВ АРКТИКИ" 
16. КУБОК АРКТИКИ ПО МОТОФРИСТАЙЛУ 
17. ФЕСТИВАЛЬ ВОДНЫХ ВИДОВ СПОРТА 
18. ДЕНЬ ФИЗКУЛЬТУРНИКА
19. СПОРТИВНЫЙ СЕМЕЙНЫЙ ФЕСТИВАЛЬ "НА СЕВЕРЕ – СПОРТ"  
20. ДАЛЬНИЕ ЗЕЛЕНЦЫ «ARCTIC EPIC TRI»
21. ФЕСТИВАЛЬ СПОРТА "ГОЛЬФСТРИМ" 
22. СПАРТАКИАДА ГОССЛУЖАЩИХ 
23. ФЕСТИВАЛЬ МОЛОДЕЖНЫХ СУБКУЛЬТУР. ОСЕННЯЯ ВЕРСИЯ 
24. ВЕРТИКАЛЬНЫЙ СЕВЕРНЫЙ ЗАБЕГ В ГОРУ "ARCTIC TOP RUN" 
25. ОРГАНИЗАЦИЯ ПРЕДМАТЧЕВЫХ ШОУ ХК "АРКТИКА" 
26. ПРЕЗЕНТАЦИЯ ХК "АРКТИКА" .
27. XIX СОРЕВНОВАНИЯ ПО ЛЁГКОЙ АТЛЕТИКЕ НА ПРИЗЫ ЗМС, СЕРЕБРЯНОГО ПРИЗЁРА XXVIII ОЛИМПИЙСКИХ ИГР Л.Н. КРУГЛОВОЙ 
28. ПРОГРАММА ЛОЯЛЬНОСТИ "РЕГИСТРИРУЙСЯ И ПОБЕЖДАЙ" 
29. ФИЗКУЛЬТУРНОЕ МЕРОПРИЯТИЕ СРЕДИ ШКОЛЬНЫХ СПОРТИВНЫХ КЛУБОВ МО 
НА КУБОК ГУБЕРНАТОРА МО 
30. ВСЕРОССИЙСКИЕ СОРЕВНОВАНИЯ ПО БОРЬБЕ "СЕВЕРНОЕ СИЯНИЕ" 
(ГРЕКО-РИМСКАЯ БОРЬБА) 
31. КУБОК АРКТИКИ ПО СПОРТИВНОМУ ЛАЗЕРТАГУ СРЕДИ УЧАЩИХСЯ ОБЩЕОБРАЗОВАТЕЛЬНЫХ ОРГАНИЗАЦИЙ 
32. "СОПКИ-СПОРТ" 
33. ЦЕРЕМОНИЯ ОТКРЫТИЯ И НАГРАЖДЕНИЯ "КУБОК РОССИИ ПО СЛАЛОМУ-ГИГАНТУ 
И СЛАЛОМУ" 
34. ЦЕРЕМОНИЯ НАГРАЖДЕНИЯ ФИЗКУЛЬТУРНОГО АКТИВА И ЧЕСТВОВАНИЯ ВЕТЕРАНОВ СПОРТА "МЫ ТВЕРДО ВЕРИМ В ГЕРОЕВ СПОРТА" 
35. НАРОДНЫЙ ТРЕНЕР И НАРОДНАЯ КОМАНДА 
36. Социально- значимый проект «Бодрое воскресенье» 
37. СПОРТИВНАЯ ЗИМА.
</t>
  </si>
  <si>
    <t>Данный показатель зависит от результативности спортсменов и выполнения ими критериев для включения в сборные команды страны</t>
  </si>
  <si>
    <t>В 2022 году в среднем в 5 раз увеличина единовременное денежное вознаграждение за высокие спортивные результаты спортсменов и их тренеров</t>
  </si>
  <si>
    <t>Проведение разъяснитьельной работы с тренерами о необходимости присвоения юношеских разрядов на начальном этапе спортивной подготовки</t>
  </si>
  <si>
    <t xml:space="preserve">Вовлечение максимального количества граждан данной категориии в массовые физкультурные мероприятия </t>
  </si>
  <si>
    <t>Остатки средств возвращены в бюджет</t>
  </si>
  <si>
    <t>По Минстрою остатки прошлых лет 7 547,64 тыс. руб. (ОБ-6 259,8 тыс. руб., МБ- 1 287,85 тыс. руб.), а именно: 1.Ремонт фасада МАУ спортивная школа ул. 50 лет Октября 31 г. Кировск (ОБ- 1 973,24 тыс. руб, МБ- 1 062,24 тыс. руб.). 2.  Капитальный ремонт здания ДЮСШ по адресу: Мурманская область, Печенгский район, нп Спутник, улица Новая, дом 6 (проведение наружных работ) (ОБ- 4 286,6 тыс. руб., МБ-225,61 тыс. руб.)</t>
  </si>
  <si>
    <t>Техническая готовность объекта - 100%. Неосвоение средств в полном объеме связано  невозможностью окончательной приемки и оплаты выполненных работ по причине того, что сметная документация  проходит проверку достоверности сметной стоимости.</t>
  </si>
  <si>
    <t xml:space="preserve">2021 - строительство, 2022 - ввод объекта в эксплуатацию
</t>
  </si>
  <si>
    <t xml:space="preserve">Минстрой МО, администрация муниципального образования Ловозерский муниципальный район МО
</t>
  </si>
  <si>
    <t xml:space="preserve">Будет установлена после разработки ПСД
</t>
  </si>
  <si>
    <t xml:space="preserve">2022 - разработка ПСД
</t>
  </si>
  <si>
    <t xml:space="preserve">6133,3
(стоимость будет определена после разработки ПСД)
</t>
  </si>
  <si>
    <t>Остатки прошлых лет в размере 7828,23 тыс. руьлей с мероприятия 3.1.6 "Поставка и установка оборудования по хоккею в Ледовый дворец Государственного областного унитарного предприятия «Универсальный спортивно-досуговый центр»".</t>
  </si>
  <si>
    <t>Остатки прошлых лет в размере 8626,01 тыс. руьлей с мероприятия 2.1.10 "Приобретение самоходной машины с заправочным баком для воды и специализированным съемным оборудованием, в том числе для заливки льда"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</si>
</sst>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р_._-;\-* #,##0.00_р_._-;_-* &quot;-&quot;??_р_._-;_-@_-"/>
    <numFmt numFmtId="165" formatCode="#,##0.0"/>
    <numFmt numFmtId="166" formatCode="0.0"/>
    <numFmt numFmtId="167" formatCode="0.0%"/>
    <numFmt numFmtId="168" formatCode="_(* #,##0.00_);_(* \(#,##0.00\);_(* &quot;-&quot;??_);_(@_)"/>
    <numFmt numFmtId="169" formatCode="#,##0.0\ _₽"/>
  </numFmts>
  <fonts count="116">
    <font>
      <sz val="11"/>
      <color theme="1"/>
      <name val="Calibri"/>
      <family val="2"/>
      <charset val="204"/>
      <scheme val="minor"/>
    </font>
    <font>
      <sz val="12"/>
      <color indexed="8"/>
      <name val="Times New Roman"/>
      <family val="1"/>
      <charset val="204"/>
    </font>
    <font>
      <sz val="6"/>
      <color theme="1"/>
      <name val="Calibri"/>
      <family val="2"/>
      <charset val="204"/>
      <scheme val="minor"/>
    </font>
    <font>
      <sz val="6"/>
      <name val="Calibri"/>
      <family val="2"/>
      <charset val="204"/>
      <scheme val="minor"/>
    </font>
    <font>
      <sz val="6"/>
      <color theme="1"/>
      <name val="Times New Roman"/>
      <family val="1"/>
      <charset val="204"/>
    </font>
    <font>
      <sz val="8"/>
      <color indexed="8"/>
      <name val="Times New Roman"/>
      <family val="1"/>
      <charset val="204"/>
    </font>
    <font>
      <sz val="6"/>
      <color indexed="8"/>
      <name val="Times New Roman"/>
      <family val="1"/>
      <charset val="204"/>
    </font>
    <font>
      <sz val="6"/>
      <name val="Times New Roman"/>
      <family val="1"/>
      <charset val="204"/>
    </font>
    <font>
      <sz val="10"/>
      <color indexed="8"/>
      <name val="Times New Roman"/>
      <family val="1"/>
      <charset val="204"/>
    </font>
    <font>
      <sz val="9"/>
      <color indexed="8"/>
      <name val="Times New Roman"/>
      <family val="1"/>
      <charset val="204"/>
    </font>
    <font>
      <sz val="10"/>
      <name val="Times New Roman"/>
      <family val="1"/>
      <charset val="204"/>
    </font>
    <font>
      <sz val="10"/>
      <color indexed="8"/>
      <name val="Calibri"/>
      <family val="2"/>
      <charset val="204"/>
    </font>
    <font>
      <sz val="10"/>
      <color indexed="10"/>
      <name val="Calibri"/>
      <family val="2"/>
      <charset val="204"/>
    </font>
    <font>
      <sz val="7"/>
      <color indexed="8"/>
      <name val="Times New Roman"/>
      <family val="1"/>
      <charset val="204"/>
    </font>
    <font>
      <sz val="9"/>
      <name val="Times New Roman"/>
      <family val="1"/>
      <charset val="204"/>
    </font>
    <font>
      <sz val="6"/>
      <name val="Calibri"/>
      <family val="2"/>
      <charset val="204"/>
    </font>
    <font>
      <sz val="6"/>
      <color indexed="8"/>
      <name val="Calibri"/>
      <family val="2"/>
      <charset val="204"/>
    </font>
    <font>
      <sz val="11"/>
      <color indexed="8"/>
      <name val="Times New Roman"/>
      <family val="1"/>
      <charset val="204"/>
    </font>
    <font>
      <sz val="9"/>
      <color indexed="8"/>
      <name val="Calibri"/>
      <family val="2"/>
      <charset val="204"/>
    </font>
    <font>
      <sz val="11"/>
      <color indexed="8"/>
      <name val="Calibri"/>
      <family val="2"/>
      <charset val="204"/>
    </font>
    <font>
      <sz val="11"/>
      <name val="Times New Roman"/>
      <family val="1"/>
      <charset val="204"/>
    </font>
    <font>
      <sz val="11"/>
      <name val="Calibri"/>
      <family val="2"/>
      <charset val="204"/>
    </font>
    <font>
      <b/>
      <sz val="11"/>
      <color indexed="8"/>
      <name val="Times New Roman"/>
      <family val="1"/>
      <charset val="204"/>
    </font>
    <font>
      <sz val="10"/>
      <color rgb="FFFF0000"/>
      <name val="Times New Roman"/>
      <family val="1"/>
      <charset val="204"/>
    </font>
    <font>
      <sz val="10"/>
      <name val="Arial Cyr"/>
      <charset val="204"/>
    </font>
    <font>
      <sz val="12"/>
      <color indexed="8"/>
      <name val="Times New Roman"/>
      <family val="2"/>
      <charset val="204"/>
    </font>
    <font>
      <sz val="10"/>
      <name val="Arial"/>
      <family val="2"/>
      <charset val="204"/>
    </font>
    <font>
      <sz val="12"/>
      <color theme="1"/>
      <name val="Times New Roman"/>
      <family val="1"/>
      <charset val="204"/>
    </font>
    <font>
      <sz val="9"/>
      <color theme="1"/>
      <name val="Times New Roman"/>
      <family val="1"/>
      <charset val="204"/>
    </font>
    <font>
      <b/>
      <sz val="11"/>
      <name val="Times New Roman"/>
      <family val="1"/>
      <charset val="204"/>
    </font>
    <font>
      <sz val="8"/>
      <name val="Times New Roman"/>
      <family val="1"/>
      <charset val="204"/>
    </font>
    <font>
      <sz val="8"/>
      <color theme="1"/>
      <name val="Times New Roman"/>
      <family val="1"/>
      <charset val="204"/>
    </font>
    <font>
      <sz val="11"/>
      <color theme="1"/>
      <name val="Times New Roman"/>
      <family val="1"/>
      <charset val="204"/>
    </font>
    <font>
      <sz val="8"/>
      <color rgb="FF000000"/>
      <name val="Times New Roman"/>
      <family val="1"/>
      <charset val="204"/>
    </font>
    <font>
      <sz val="10"/>
      <name val="Arial"/>
      <family val="2"/>
      <charset val="204"/>
    </font>
    <font>
      <sz val="8"/>
      <name val="Calibri"/>
      <family val="2"/>
      <charset val="204"/>
    </font>
    <font>
      <sz val="12"/>
      <name val="Times New Roman"/>
      <family val="1"/>
      <charset val="204"/>
    </font>
    <font>
      <b/>
      <sz val="12"/>
      <name val="Times New Roman"/>
      <family val="1"/>
      <charset val="204"/>
    </font>
    <font>
      <b/>
      <sz val="12"/>
      <color indexed="8"/>
      <name val="Times New Roman"/>
      <family val="1"/>
      <charset val="204"/>
    </font>
    <font>
      <sz val="8"/>
      <color indexed="10"/>
      <name val="Times New Roman"/>
      <family val="1"/>
      <charset val="204"/>
    </font>
    <font>
      <sz val="8"/>
      <color indexed="8"/>
      <name val="Calibri"/>
      <family val="2"/>
      <charset val="204"/>
    </font>
    <font>
      <sz val="8"/>
      <color theme="1"/>
      <name val="Calibri"/>
      <family val="2"/>
      <charset val="204"/>
      <scheme val="minor"/>
    </font>
    <font>
      <sz val="8"/>
      <name val="Calibri"/>
      <family val="2"/>
      <charset val="204"/>
      <scheme val="minor"/>
    </font>
    <font>
      <sz val="10"/>
      <name val="Arial"/>
      <family val="2"/>
      <charset val="204"/>
    </font>
    <font>
      <b/>
      <sz val="16"/>
      <name val="Times New Roman"/>
      <family val="1"/>
      <charset val="204"/>
    </font>
    <font>
      <b/>
      <sz val="14"/>
      <name val="Times New Roman"/>
      <family val="1"/>
      <charset val="204"/>
    </font>
    <font>
      <b/>
      <sz val="16"/>
      <name val="Arial"/>
      <family val="2"/>
      <charset val="204"/>
    </font>
    <font>
      <sz val="8"/>
      <name val="SimHei"/>
      <family val="3"/>
    </font>
    <font>
      <b/>
      <sz val="13"/>
      <name val="Times New Roman"/>
      <family val="1"/>
      <charset val="204"/>
    </font>
    <font>
      <b/>
      <i/>
      <sz val="11"/>
      <name val="Times New Roman"/>
      <family val="1"/>
      <charset val="204"/>
    </font>
    <font>
      <b/>
      <i/>
      <sz val="12"/>
      <name val="Times New Roman"/>
      <family val="1"/>
      <charset val="204"/>
    </font>
    <font>
      <u/>
      <sz val="10"/>
      <name val="Times New Roman"/>
      <family val="1"/>
      <charset val="204"/>
    </font>
    <font>
      <i/>
      <sz val="10"/>
      <name val="Times New Roman"/>
      <family val="1"/>
      <charset val="204"/>
    </font>
    <font>
      <i/>
      <sz val="12"/>
      <name val="Times New Roman"/>
      <family val="1"/>
      <charset val="204"/>
    </font>
    <font>
      <i/>
      <sz val="13"/>
      <name val="Times New Roman"/>
      <family val="1"/>
      <charset val="204"/>
    </font>
    <font>
      <b/>
      <sz val="10"/>
      <name val="Times New Roman"/>
      <family val="1"/>
      <charset val="204"/>
    </font>
    <font>
      <b/>
      <i/>
      <sz val="11"/>
      <color indexed="8"/>
      <name val="Times New Roman"/>
      <family val="1"/>
      <charset val="204"/>
    </font>
    <font>
      <i/>
      <sz val="10"/>
      <color indexed="8"/>
      <name val="Times New Roman"/>
      <family val="1"/>
      <charset val="204"/>
    </font>
    <font>
      <sz val="12"/>
      <name val="Arial"/>
      <family val="2"/>
      <charset val="204"/>
    </font>
    <font>
      <sz val="11"/>
      <color theme="1"/>
      <name val="Calibri"/>
      <family val="2"/>
      <charset val="204"/>
      <scheme val="minor"/>
    </font>
    <font>
      <sz val="10"/>
      <color theme="1"/>
      <name val="Times New Roman"/>
      <family val="1"/>
      <charset val="204"/>
    </font>
    <font>
      <sz val="14"/>
      <color theme="1"/>
      <name val="Calibri"/>
      <family val="2"/>
      <charset val="204"/>
      <scheme val="minor"/>
    </font>
    <font>
      <strike/>
      <sz val="14"/>
      <color rgb="FFFF0000"/>
      <name val="Calibri"/>
      <family val="2"/>
      <charset val="204"/>
      <scheme val="minor"/>
    </font>
    <font>
      <sz val="12"/>
      <color theme="1"/>
      <name val="Calibri"/>
      <family val="2"/>
      <charset val="204"/>
      <scheme val="minor"/>
    </font>
    <font>
      <b/>
      <sz val="12"/>
      <color theme="1"/>
      <name val="Times New Roman"/>
      <family val="1"/>
      <charset val="204"/>
    </font>
    <font>
      <strike/>
      <sz val="12"/>
      <color rgb="FFFF0000"/>
      <name val="Calibri"/>
      <family val="2"/>
      <charset val="204"/>
      <scheme val="minor"/>
    </font>
    <font>
      <b/>
      <i/>
      <sz val="14"/>
      <name val="Times New Roman"/>
      <family val="1"/>
      <charset val="204"/>
    </font>
    <font>
      <b/>
      <u/>
      <sz val="11"/>
      <name val="Times New Roman"/>
      <family val="1"/>
      <charset val="204"/>
    </font>
    <font>
      <b/>
      <u/>
      <sz val="10"/>
      <name val="Times New Roman"/>
      <family val="1"/>
      <charset val="204"/>
    </font>
    <font>
      <b/>
      <i/>
      <sz val="12"/>
      <color indexed="8"/>
      <name val="Times New Roman"/>
      <family val="1"/>
      <charset val="204"/>
    </font>
    <font>
      <b/>
      <sz val="8"/>
      <name val="Times New Roman"/>
      <family val="1"/>
      <charset val="204"/>
    </font>
    <font>
      <b/>
      <sz val="8"/>
      <color theme="1"/>
      <name val="Times New Roman"/>
      <family val="1"/>
      <charset val="204"/>
    </font>
    <font>
      <sz val="8"/>
      <color indexed="8"/>
      <name val="Times New Roman"/>
      <family val="2"/>
      <charset val="204"/>
    </font>
    <font>
      <b/>
      <sz val="11"/>
      <color theme="1"/>
      <name val="Calibri"/>
      <family val="2"/>
      <charset val="204"/>
      <scheme val="minor"/>
    </font>
    <font>
      <b/>
      <sz val="12"/>
      <color rgb="FF000000"/>
      <name val="Arial"/>
      <family val="2"/>
      <charset val="204"/>
    </font>
    <font>
      <sz val="11"/>
      <name val="Calibri"/>
      <family val="2"/>
      <scheme val="minor"/>
    </font>
    <font>
      <sz val="10"/>
      <color rgb="FF000000"/>
      <name val="Arial"/>
      <family val="2"/>
      <charset val="204"/>
    </font>
    <font>
      <b/>
      <sz val="10"/>
      <color rgb="FF000000"/>
      <name val="Arial"/>
      <family val="2"/>
      <charset val="204"/>
    </font>
    <font>
      <b/>
      <sz val="11"/>
      <color rgb="FF000000"/>
      <name val="Arial"/>
      <family val="2"/>
      <charset val="204"/>
    </font>
    <font>
      <sz val="10"/>
      <color rgb="FF000000"/>
      <name val="Arial Cyr"/>
    </font>
    <font>
      <sz val="10"/>
      <color rgb="FF000000"/>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sz val="16"/>
      <color theme="1"/>
      <name val="Times New Roman"/>
      <family val="1"/>
      <charset val="204"/>
    </font>
    <font>
      <b/>
      <i/>
      <sz val="10"/>
      <color rgb="FF000000"/>
      <name val="Times New Roman"/>
      <family val="1"/>
      <charset val="204"/>
    </font>
    <font>
      <b/>
      <sz val="10"/>
      <color theme="1"/>
      <name val="Times New Roman"/>
      <family val="1"/>
      <charset val="204"/>
    </font>
    <font>
      <sz val="11"/>
      <color rgb="FFFF0000"/>
      <name val="Calibri"/>
      <family val="2"/>
      <charset val="204"/>
      <scheme val="minor"/>
    </font>
    <font>
      <b/>
      <sz val="8"/>
      <color indexed="8"/>
      <name val="Times New Roman"/>
      <family val="1"/>
      <charset val="204"/>
    </font>
    <font>
      <b/>
      <sz val="10"/>
      <color indexed="8"/>
      <name val="Times New Roman"/>
      <family val="1"/>
      <charset val="204"/>
    </font>
    <font>
      <b/>
      <sz val="9"/>
      <color indexed="8"/>
      <name val="Times New Roman"/>
      <family val="1"/>
      <charset val="204"/>
    </font>
    <font>
      <b/>
      <sz val="10"/>
      <color rgb="FF7030A0"/>
      <name val="Times New Roman"/>
      <family val="1"/>
      <charset val="204"/>
    </font>
    <font>
      <b/>
      <sz val="8"/>
      <color rgb="FF7030A0"/>
      <name val="Times New Roman"/>
      <family val="1"/>
      <charset val="204"/>
    </font>
    <font>
      <b/>
      <sz val="9"/>
      <color rgb="FF7030A0"/>
      <name val="Times New Roman"/>
      <family val="1"/>
      <charset val="204"/>
    </font>
    <font>
      <sz val="8"/>
      <color rgb="FFFF0000"/>
      <name val="Times New Roman"/>
      <family val="1"/>
      <charset val="204"/>
    </font>
    <font>
      <sz val="9"/>
      <color rgb="FFFF0000"/>
      <name val="Times New Roman"/>
      <family val="1"/>
      <charset val="204"/>
    </font>
    <font>
      <b/>
      <sz val="9"/>
      <name val="Times New Roman"/>
      <family val="1"/>
      <charset val="204"/>
    </font>
    <font>
      <sz val="10"/>
      <color rgb="FF7030A0"/>
      <name val="Times New Roman"/>
      <family val="1"/>
      <charset val="204"/>
    </font>
    <font>
      <sz val="8"/>
      <color rgb="FF7030A0"/>
      <name val="Times New Roman"/>
      <family val="1"/>
      <charset val="204"/>
    </font>
    <font>
      <sz val="9"/>
      <color rgb="FF7030A0"/>
      <name val="Times New Roman"/>
      <family val="1"/>
      <charset val="204"/>
    </font>
    <font>
      <sz val="10"/>
      <color rgb="FF7030A0"/>
      <name val="Calibri"/>
      <family val="2"/>
      <charset val="204"/>
    </font>
    <font>
      <sz val="11"/>
      <color rgb="FF7030A0"/>
      <name val="Calibri"/>
      <family val="2"/>
      <charset val="204"/>
      <scheme val="minor"/>
    </font>
    <font>
      <sz val="8"/>
      <color indexed="36"/>
      <name val="Times New Roman"/>
      <family val="1"/>
      <charset val="204"/>
    </font>
    <font>
      <sz val="10"/>
      <color rgb="FFFF0000"/>
      <name val="Calibri"/>
      <family val="2"/>
      <charset val="204"/>
    </font>
    <font>
      <b/>
      <sz val="8"/>
      <name val="Calibri"/>
      <family val="2"/>
      <charset val="204"/>
    </font>
    <font>
      <b/>
      <sz val="11"/>
      <color theme="1"/>
      <name val="Times New Roman"/>
      <family val="1"/>
      <charset val="204"/>
    </font>
    <font>
      <sz val="11"/>
      <name val="Calibri"/>
      <family val="2"/>
      <charset val="204"/>
      <scheme val="minor"/>
    </font>
    <font>
      <sz val="12"/>
      <color indexed="8"/>
      <name val="Calibri"/>
      <family val="2"/>
      <charset val="204"/>
    </font>
    <font>
      <u/>
      <sz val="11"/>
      <color theme="10"/>
      <name val="Calibri"/>
      <family val="2"/>
      <charset val="204"/>
      <scheme val="minor"/>
    </font>
    <font>
      <sz val="10"/>
      <color theme="1"/>
      <name val="Calibri"/>
      <family val="2"/>
      <charset val="204"/>
      <scheme val="minor"/>
    </font>
    <font>
      <b/>
      <sz val="14"/>
      <color theme="1"/>
      <name val="Times New Roman"/>
      <family val="1"/>
      <charset val="204"/>
    </font>
    <font>
      <sz val="9"/>
      <color indexed="81"/>
      <name val="Tahoma"/>
      <charset val="1"/>
    </font>
    <font>
      <b/>
      <sz val="9"/>
      <color indexed="81"/>
      <name val="Tahoma"/>
      <charset val="1"/>
    </font>
    <font>
      <b/>
      <sz val="9"/>
      <color indexed="81"/>
      <name val="Tahoma"/>
      <family val="2"/>
      <charset val="204"/>
    </font>
    <font>
      <sz val="9"/>
      <color indexed="81"/>
      <name val="Tahoma"/>
      <family val="2"/>
      <charset val="204"/>
    </font>
    <font>
      <i/>
      <sz val="9"/>
      <color indexed="81"/>
      <name val="Tahoma"/>
      <family val="2"/>
      <charset val="204"/>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indexed="42"/>
        <bgColor indexed="64"/>
      </patternFill>
    </fill>
    <fill>
      <patternFill patternType="solid">
        <fgColor indexed="13"/>
        <bgColor indexed="64"/>
      </patternFill>
    </fill>
    <fill>
      <patternFill patternType="solid">
        <fgColor rgb="FF92D050"/>
        <bgColor indexed="64"/>
      </patternFill>
    </fill>
    <fill>
      <patternFill patternType="solid">
        <fgColor indexed="1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47"/>
        <bgColor indexed="64"/>
      </patternFill>
    </fill>
    <fill>
      <patternFill patternType="solid">
        <fgColor theme="9" tint="0.39997558519241921"/>
        <bgColor indexed="64"/>
      </patternFill>
    </fill>
    <fill>
      <patternFill patternType="solid">
        <fgColor indexed="9"/>
        <bgColor indexed="9"/>
      </patternFill>
    </fill>
    <fill>
      <patternFill patternType="solid">
        <fgColor theme="6" tint="0.59996337778862885"/>
        <bgColor indexed="64"/>
      </patternFill>
    </fill>
    <fill>
      <patternFill patternType="solid">
        <fgColor theme="9" tint="0.79998168889431442"/>
        <bgColor indexed="64"/>
      </patternFill>
    </fill>
    <fill>
      <patternFill patternType="solid">
        <fgColor theme="9" tint="0.79998168889431442"/>
        <bgColor indexed="9"/>
      </patternFill>
    </fill>
    <fill>
      <patternFill patternType="solid">
        <fgColor theme="5" tint="0.79998168889431442"/>
        <bgColor indexed="64"/>
      </patternFill>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right style="thin">
        <color indexed="64"/>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57">
    <xf numFmtId="0" fontId="0" fillId="0" borderId="0"/>
    <xf numFmtId="164" fontId="19" fillId="0" borderId="0" applyFont="0" applyFill="0" applyBorder="0" applyAlignment="0" applyProtection="0"/>
    <xf numFmtId="0" fontId="24" fillId="4" borderId="0"/>
    <xf numFmtId="9" fontId="19" fillId="0" borderId="0" applyFont="0" applyFill="0" applyBorder="0" applyAlignment="0" applyProtection="0"/>
    <xf numFmtId="0" fontId="25" fillId="0" borderId="0"/>
    <xf numFmtId="0" fontId="26" fillId="0" borderId="0"/>
    <xf numFmtId="0" fontId="34" fillId="0" borderId="0"/>
    <xf numFmtId="168" fontId="34" fillId="0" borderId="0" applyFont="0" applyFill="0" applyBorder="0" applyAlignment="0" applyProtection="0"/>
    <xf numFmtId="0" fontId="43" fillId="0" borderId="0"/>
    <xf numFmtId="168" fontId="43" fillId="0" borderId="0" applyFont="0" applyFill="0" applyBorder="0" applyAlignment="0" applyProtection="0"/>
    <xf numFmtId="9" fontId="59" fillId="0" borderId="0" applyFont="0" applyFill="0" applyBorder="0" applyAlignment="0" applyProtection="0"/>
    <xf numFmtId="0" fontId="74" fillId="0" borderId="0">
      <alignment horizontal="center" vertical="top" wrapText="1"/>
    </xf>
    <xf numFmtId="0" fontId="75" fillId="0" borderId="0"/>
    <xf numFmtId="0" fontId="76" fillId="0" borderId="0">
      <alignment horizontal="right" vertical="top" wrapText="1"/>
    </xf>
    <xf numFmtId="49" fontId="77" fillId="0" borderId="18">
      <alignment horizontal="center" vertical="center" wrapText="1"/>
    </xf>
    <xf numFmtId="49" fontId="77" fillId="0" borderId="19">
      <alignment horizontal="center" vertical="center" wrapText="1"/>
    </xf>
    <xf numFmtId="49" fontId="77" fillId="0" borderId="20">
      <alignment horizontal="center" vertical="center" wrapText="1"/>
    </xf>
    <xf numFmtId="49" fontId="77" fillId="0" borderId="21">
      <alignment horizontal="center" vertical="center" wrapText="1"/>
    </xf>
    <xf numFmtId="49" fontId="77" fillId="0" borderId="22">
      <alignment horizontal="center" vertical="center" wrapText="1"/>
    </xf>
    <xf numFmtId="49" fontId="77" fillId="0" borderId="23">
      <alignment horizontal="center" vertical="center" wrapText="1"/>
    </xf>
    <xf numFmtId="0" fontId="78" fillId="21" borderId="24">
      <alignment horizontal="left" vertical="top" wrapText="1"/>
    </xf>
    <xf numFmtId="49" fontId="78" fillId="21" borderId="25">
      <alignment horizontal="center" vertical="top" wrapText="1" shrinkToFit="1"/>
    </xf>
    <xf numFmtId="0" fontId="78" fillId="21" borderId="25">
      <alignment horizontal="left" vertical="top" wrapText="1"/>
    </xf>
    <xf numFmtId="4" fontId="78" fillId="21" borderId="25">
      <alignment horizontal="right" vertical="top" wrapText="1" shrinkToFit="1"/>
    </xf>
    <xf numFmtId="0" fontId="78" fillId="21" borderId="26">
      <alignment horizontal="right" vertical="top" shrinkToFit="1"/>
    </xf>
    <xf numFmtId="0" fontId="77" fillId="22" borderId="27">
      <alignment horizontal="left" vertical="top" wrapText="1"/>
    </xf>
    <xf numFmtId="49" fontId="77" fillId="22" borderId="28">
      <alignment horizontal="center" vertical="top" shrinkToFit="1"/>
    </xf>
    <xf numFmtId="0" fontId="77" fillId="22" borderId="28">
      <alignment horizontal="left" vertical="top" wrapText="1"/>
    </xf>
    <xf numFmtId="4" fontId="77" fillId="22" borderId="28">
      <alignment horizontal="right" vertical="top" shrinkToFit="1"/>
    </xf>
    <xf numFmtId="0" fontId="77" fillId="22" borderId="29">
      <alignment horizontal="right" vertical="top" shrinkToFit="1"/>
    </xf>
    <xf numFmtId="0" fontId="77" fillId="23" borderId="30">
      <alignment horizontal="left" vertical="top" wrapText="1"/>
    </xf>
    <xf numFmtId="49" fontId="77" fillId="23" borderId="31">
      <alignment horizontal="center" vertical="top" shrinkToFit="1"/>
    </xf>
    <xf numFmtId="0" fontId="77" fillId="23" borderId="31">
      <alignment horizontal="left" vertical="top" wrapText="1"/>
    </xf>
    <xf numFmtId="4" fontId="77" fillId="23" borderId="31">
      <alignment horizontal="right" vertical="top" shrinkToFit="1"/>
    </xf>
    <xf numFmtId="0" fontId="77" fillId="23" borderId="32">
      <alignment horizontal="right" vertical="top" shrinkToFit="1"/>
    </xf>
    <xf numFmtId="0" fontId="79" fillId="0" borderId="30">
      <alignment horizontal="left" vertical="top" wrapText="1"/>
    </xf>
    <xf numFmtId="49" fontId="76" fillId="0" borderId="31">
      <alignment horizontal="center" vertical="top" shrinkToFit="1"/>
    </xf>
    <xf numFmtId="0" fontId="76" fillId="0" borderId="31">
      <alignment horizontal="left" vertical="top" wrapText="1"/>
    </xf>
    <xf numFmtId="4" fontId="76" fillId="0" borderId="31">
      <alignment horizontal="right" vertical="top" shrinkToFit="1"/>
    </xf>
    <xf numFmtId="0" fontId="76" fillId="0" borderId="32">
      <alignment horizontal="right" vertical="top" shrinkToFit="1"/>
    </xf>
    <xf numFmtId="0" fontId="79" fillId="0" borderId="30">
      <alignment horizontal="left" vertical="top" wrapText="1"/>
    </xf>
    <xf numFmtId="49" fontId="76" fillId="0" borderId="31">
      <alignment horizontal="center" vertical="top" shrinkToFit="1"/>
    </xf>
    <xf numFmtId="0" fontId="76" fillId="0" borderId="31">
      <alignment horizontal="left" vertical="top" wrapText="1"/>
    </xf>
    <xf numFmtId="4" fontId="76" fillId="0" borderId="31">
      <alignment horizontal="right" vertical="top" shrinkToFit="1"/>
    </xf>
    <xf numFmtId="0" fontId="76" fillId="0" borderId="33"/>
    <xf numFmtId="0" fontId="76" fillId="0" borderId="34"/>
    <xf numFmtId="0" fontId="76" fillId="0" borderId="35"/>
    <xf numFmtId="0" fontId="78" fillId="24" borderId="36"/>
    <xf numFmtId="0" fontId="78" fillId="24" borderId="37"/>
    <xf numFmtId="4" fontId="78" fillId="24" borderId="37">
      <alignment horizontal="right" shrinkToFit="1"/>
    </xf>
    <xf numFmtId="0" fontId="78" fillId="24" borderId="38"/>
    <xf numFmtId="0" fontId="76" fillId="0" borderId="39"/>
    <xf numFmtId="0" fontId="76" fillId="0" borderId="0">
      <alignment horizontal="left" vertical="top" wrapText="1"/>
    </xf>
    <xf numFmtId="0" fontId="80" fillId="0" borderId="0">
      <alignment vertical="top" wrapText="1"/>
    </xf>
    <xf numFmtId="0" fontId="81" fillId="0" borderId="0">
      <alignment vertical="top" wrapText="1"/>
    </xf>
    <xf numFmtId="0" fontId="24" fillId="4" borderId="0"/>
    <xf numFmtId="0" fontId="108" fillId="0" borderId="0" applyNumberFormat="0" applyFill="0" applyBorder="0" applyAlignment="0" applyProtection="0"/>
  </cellStyleXfs>
  <cellXfs count="1412">
    <xf numFmtId="0" fontId="0" fillId="0" borderId="0" xfId="0"/>
    <xf numFmtId="0" fontId="2" fillId="2" borderId="0" xfId="0" applyFont="1" applyFill="1"/>
    <xf numFmtId="0" fontId="0" fillId="2" borderId="0" xfId="0" applyFill="1"/>
    <xf numFmtId="165" fontId="0" fillId="2" borderId="0" xfId="0" applyNumberFormat="1" applyFill="1"/>
    <xf numFmtId="166" fontId="0" fillId="2" borderId="0" xfId="0" applyNumberFormat="1" applyFill="1"/>
    <xf numFmtId="0" fontId="3" fillId="2" borderId="0" xfId="0" applyFont="1" applyFill="1" applyAlignment="1">
      <alignment horizontal="center" vertical="center"/>
    </xf>
    <xf numFmtId="0" fontId="4" fillId="2" borderId="0" xfId="0" applyFont="1" applyFill="1"/>
    <xf numFmtId="166" fontId="5" fillId="2" borderId="1" xfId="0" applyNumberFormat="1" applyFont="1" applyFill="1" applyBorder="1" applyAlignment="1">
      <alignment horizontal="center" vertical="center" wrapText="1"/>
    </xf>
    <xf numFmtId="165" fontId="9" fillId="2" borderId="1" xfId="0" applyNumberFormat="1" applyFont="1" applyFill="1" applyBorder="1" applyAlignment="1">
      <alignment vertical="center" wrapText="1"/>
    </xf>
    <xf numFmtId="165" fontId="9" fillId="2" borderId="1" xfId="0" applyNumberFormat="1" applyFont="1" applyFill="1" applyBorder="1" applyAlignment="1">
      <alignment horizontal="right" vertical="center" wrapText="1"/>
    </xf>
    <xf numFmtId="0" fontId="11" fillId="2" borderId="0" xfId="0" applyFont="1" applyFill="1"/>
    <xf numFmtId="165" fontId="9" fillId="2" borderId="1" xfId="0" applyNumberFormat="1" applyFont="1" applyFill="1" applyBorder="1" applyAlignment="1">
      <alignment horizontal="right"/>
    </xf>
    <xf numFmtId="0" fontId="12" fillId="2" borderId="0" xfId="0" applyFont="1" applyFill="1"/>
    <xf numFmtId="165" fontId="14" fillId="2" borderId="1" xfId="0" applyNumberFormat="1" applyFont="1" applyFill="1" applyBorder="1" applyAlignment="1">
      <alignment vertical="center" wrapText="1"/>
    </xf>
    <xf numFmtId="166" fontId="8" fillId="2" borderId="1" xfId="0" applyNumberFormat="1" applyFont="1" applyFill="1" applyBorder="1" applyAlignment="1">
      <alignment horizontal="right" vertical="center" wrapText="1"/>
    </xf>
    <xf numFmtId="166" fontId="9" fillId="2" borderId="1" xfId="0" applyNumberFormat="1" applyFont="1" applyFill="1" applyBorder="1" applyAlignment="1">
      <alignment horizontal="right" vertical="center" wrapText="1"/>
    </xf>
    <xf numFmtId="0" fontId="8"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165" fontId="9" fillId="2" borderId="0" xfId="0" applyNumberFormat="1" applyFont="1" applyFill="1" applyBorder="1" applyAlignment="1">
      <alignment vertical="center" wrapText="1"/>
    </xf>
    <xf numFmtId="165" fontId="9" fillId="2" borderId="0" xfId="0" applyNumberFormat="1" applyFont="1" applyFill="1" applyBorder="1" applyAlignment="1">
      <alignment horizontal="right"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5" fontId="9" fillId="2" borderId="8" xfId="0" applyNumberFormat="1" applyFont="1" applyFill="1" applyBorder="1" applyAlignment="1">
      <alignment vertical="center" wrapText="1"/>
    </xf>
    <xf numFmtId="165" fontId="9" fillId="2" borderId="8" xfId="0" applyNumberFormat="1" applyFont="1" applyFill="1" applyBorder="1" applyAlignment="1">
      <alignment horizontal="right" vertical="center" wrapText="1"/>
    </xf>
    <xf numFmtId="0" fontId="11" fillId="2" borderId="0" xfId="0" applyNumberFormat="1" applyFont="1" applyFill="1" applyAlignment="1">
      <alignment horizontal="center"/>
    </xf>
    <xf numFmtId="0" fontId="16" fillId="2" borderId="0" xfId="0" applyFont="1" applyFill="1"/>
    <xf numFmtId="166" fontId="11" fillId="2" borderId="0" xfId="0" applyNumberFormat="1" applyFont="1" applyFill="1"/>
    <xf numFmtId="165" fontId="11" fillId="2" borderId="0" xfId="0" applyNumberFormat="1" applyFont="1" applyFill="1"/>
    <xf numFmtId="0" fontId="15" fillId="2" borderId="0" xfId="0" applyFont="1" applyFill="1" applyAlignment="1">
      <alignment horizontal="center" vertical="center"/>
    </xf>
    <xf numFmtId="0" fontId="6" fillId="2" borderId="0" xfId="0" applyFont="1" applyFill="1"/>
    <xf numFmtId="0" fontId="8" fillId="2" borderId="0" xfId="0" applyNumberFormat="1" applyFont="1" applyFill="1" applyAlignment="1">
      <alignment horizontal="left" wrapText="1"/>
    </xf>
    <xf numFmtId="0" fontId="6" fillId="2" borderId="0" xfId="0" applyNumberFormat="1" applyFont="1" applyFill="1" applyAlignment="1">
      <alignment horizontal="left" wrapText="1"/>
    </xf>
    <xf numFmtId="166" fontId="8" fillId="2" borderId="0" xfId="0" applyNumberFormat="1" applyFont="1" applyFill="1" applyAlignment="1">
      <alignment horizontal="left" wrapText="1"/>
    </xf>
    <xf numFmtId="165" fontId="8" fillId="2" borderId="0" xfId="0" applyNumberFormat="1" applyFont="1" applyFill="1" applyAlignment="1">
      <alignment horizontal="left" wrapText="1"/>
    </xf>
    <xf numFmtId="0" fontId="7" fillId="2" borderId="0" xfId="0" applyNumberFormat="1" applyFont="1" applyFill="1" applyAlignment="1">
      <alignment horizontal="center" vertical="center" wrapText="1"/>
    </xf>
    <xf numFmtId="0" fontId="0" fillId="0" borderId="0" xfId="0" applyFill="1"/>
    <xf numFmtId="0" fontId="10"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Alignment="1">
      <alignment horizontal="center"/>
    </xf>
    <xf numFmtId="0" fontId="8" fillId="0" borderId="0" xfId="0" applyNumberFormat="1" applyFont="1" applyFill="1" applyAlignment="1">
      <alignment horizontal="left" wrapText="1"/>
    </xf>
    <xf numFmtId="0" fontId="0" fillId="0" borderId="0" xfId="0" applyFill="1" applyAlignment="1">
      <alignment horizontal="center"/>
    </xf>
    <xf numFmtId="0" fontId="0" fillId="2" borderId="0" xfId="0" applyNumberFormat="1" applyFill="1" applyAlignment="1">
      <alignment horizontal="center"/>
    </xf>
    <xf numFmtId="0" fontId="13"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5" fontId="9" fillId="0" borderId="1" xfId="0" applyNumberFormat="1" applyFont="1" applyFill="1" applyBorder="1" applyAlignment="1">
      <alignment vertical="center" wrapText="1"/>
    </xf>
    <xf numFmtId="165" fontId="9" fillId="0"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0" fontId="0" fillId="2" borderId="1" xfId="0" applyFill="1" applyBorder="1"/>
    <xf numFmtId="0" fontId="13" fillId="2" borderId="0" xfId="0" applyFont="1" applyFill="1" applyBorder="1" applyAlignment="1">
      <alignment horizontal="center" vertical="center" wrapText="1"/>
    </xf>
    <xf numFmtId="0" fontId="0" fillId="2" borderId="0" xfId="0" applyNumberFormat="1" applyFill="1" applyAlignment="1">
      <alignment horizontal="center"/>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5" fontId="9" fillId="5" borderId="1" xfId="0" applyNumberFormat="1" applyFont="1" applyFill="1" applyBorder="1" applyAlignment="1">
      <alignment vertical="center" wrapText="1"/>
    </xf>
    <xf numFmtId="165" fontId="9" fillId="5" borderId="1" xfId="0" applyNumberFormat="1" applyFont="1" applyFill="1" applyBorder="1" applyAlignment="1">
      <alignment horizontal="right" vertical="center" wrapText="1"/>
    </xf>
    <xf numFmtId="165" fontId="28" fillId="0" borderId="0" xfId="0" applyNumberFormat="1" applyFont="1"/>
    <xf numFmtId="165" fontId="28" fillId="0" borderId="0" xfId="0" applyNumberFormat="1" applyFont="1" applyAlignment="1">
      <alignment horizontal="right"/>
    </xf>
    <xf numFmtId="0" fontId="8" fillId="2"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1" fillId="0" borderId="0" xfId="0" applyFont="1" applyFill="1" applyAlignment="1">
      <alignment vertical="center"/>
    </xf>
    <xf numFmtId="167" fontId="19" fillId="0" borderId="0" xfId="0" applyNumberFormat="1" applyFont="1" applyFill="1" applyAlignment="1">
      <alignment horizontal="right" vertical="center"/>
    </xf>
    <xf numFmtId="165" fontId="18" fillId="0" borderId="0" xfId="0" applyNumberFormat="1" applyFont="1" applyFill="1" applyBorder="1" applyAlignment="1"/>
    <xf numFmtId="0" fontId="5" fillId="2" borderId="1" xfId="0" applyFont="1" applyFill="1" applyBorder="1" applyAlignment="1">
      <alignment horizontal="center" vertical="center" wrapText="1"/>
    </xf>
    <xf numFmtId="165" fontId="0" fillId="0" borderId="0" xfId="0" applyNumberFormat="1"/>
    <xf numFmtId="0" fontId="32" fillId="0" borderId="0" xfId="0" applyFont="1" applyAlignment="1">
      <alignment horizontal="right" vertical="center"/>
    </xf>
    <xf numFmtId="165" fontId="27" fillId="0" borderId="0" xfId="0" applyNumberFormat="1" applyFont="1" applyAlignment="1">
      <alignment horizontal="left" vertical="center"/>
    </xf>
    <xf numFmtId="0" fontId="32" fillId="0" borderId="0" xfId="0" applyFont="1" applyAlignment="1">
      <alignment horizontal="center" vertical="center" wrapText="1"/>
    </xf>
    <xf numFmtId="0" fontId="31" fillId="0" borderId="1"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165" fontId="31" fillId="0" borderId="1" xfId="0" applyNumberFormat="1" applyFont="1" applyFill="1" applyBorder="1" applyAlignment="1">
      <alignment vertical="center" wrapText="1"/>
    </xf>
    <xf numFmtId="0" fontId="0" fillId="0" borderId="0" xfId="0" applyNumberFormat="1" applyAlignment="1">
      <alignment horizontal="center"/>
    </xf>
    <xf numFmtId="0" fontId="0" fillId="0" borderId="0" xfId="0" applyAlignment="1">
      <alignment horizontal="center"/>
    </xf>
    <xf numFmtId="0" fontId="0" fillId="0" borderId="0" xfId="0" applyBorder="1"/>
    <xf numFmtId="0" fontId="5" fillId="0" borderId="0" xfId="0" applyFont="1" applyBorder="1" applyAlignment="1">
      <alignment horizontal="left" vertical="center"/>
    </xf>
    <xf numFmtId="0" fontId="5" fillId="0" borderId="0" xfId="0" applyFont="1" applyBorder="1" applyAlignment="1">
      <alignment horizontal="center" vertical="center"/>
    </xf>
    <xf numFmtId="165" fontId="5" fillId="0" borderId="0" xfId="0" applyNumberFormat="1" applyFont="1" applyBorder="1" applyAlignment="1"/>
    <xf numFmtId="165" fontId="5" fillId="0" borderId="0" xfId="0" applyNumberFormat="1" applyFont="1" applyBorder="1" applyAlignment="1">
      <alignment vertical="center"/>
    </xf>
    <xf numFmtId="0" fontId="5" fillId="0" borderId="9" xfId="0" applyFont="1" applyFill="1" applyBorder="1" applyAlignment="1">
      <alignment horizontal="center" vertical="center" wrapText="1"/>
    </xf>
    <xf numFmtId="165" fontId="5" fillId="0" borderId="1" xfId="0" applyNumberFormat="1" applyFont="1" applyFill="1" applyBorder="1" applyAlignment="1">
      <alignment vertical="center" wrapText="1"/>
    </xf>
    <xf numFmtId="0" fontId="5" fillId="2" borderId="9" xfId="0" applyFont="1" applyFill="1" applyBorder="1" applyAlignment="1">
      <alignment horizontal="center" vertical="center" wrapText="1"/>
    </xf>
    <xf numFmtId="165" fontId="5" fillId="2" borderId="1" xfId="0" applyNumberFormat="1" applyFont="1" applyFill="1" applyBorder="1" applyAlignment="1">
      <alignment vertical="center" wrapText="1"/>
    </xf>
    <xf numFmtId="165" fontId="33" fillId="0" borderId="1" xfId="0" applyNumberFormat="1" applyFont="1" applyBorder="1" applyAlignment="1">
      <alignment vertical="center" wrapText="1"/>
    </xf>
    <xf numFmtId="165" fontId="9" fillId="0" borderId="1" xfId="0" applyNumberFormat="1" applyFont="1" applyFill="1" applyBorder="1" applyAlignment="1">
      <alignment horizontal="right" vertical="top" wrapText="1"/>
    </xf>
    <xf numFmtId="165" fontId="5" fillId="0" borderId="6" xfId="0" applyNumberFormat="1" applyFont="1" applyFill="1" applyBorder="1" applyAlignment="1">
      <alignment vertical="center" wrapText="1"/>
    </xf>
    <xf numFmtId="165" fontId="5" fillId="3" borderId="6" xfId="0" applyNumberFormat="1" applyFont="1" applyFill="1" applyBorder="1" applyAlignment="1">
      <alignment vertical="center" wrapText="1"/>
    </xf>
    <xf numFmtId="165" fontId="33" fillId="2" borderId="1" xfId="0" applyNumberFormat="1" applyFont="1" applyFill="1" applyBorder="1" applyAlignment="1">
      <alignment vertical="center" wrapText="1"/>
    </xf>
    <xf numFmtId="165" fontId="9" fillId="2" borderId="1" xfId="0" applyNumberFormat="1" applyFont="1" applyFill="1" applyBorder="1" applyAlignment="1">
      <alignment horizontal="right" vertical="top" wrapText="1"/>
    </xf>
    <xf numFmtId="165" fontId="5" fillId="2" borderId="6" xfId="0" applyNumberFormat="1" applyFont="1" applyFill="1" applyBorder="1" applyAlignment="1">
      <alignment vertical="center" wrapText="1"/>
    </xf>
    <xf numFmtId="165" fontId="5" fillId="2" borderId="7" xfId="0" applyNumberFormat="1" applyFont="1" applyFill="1" applyBorder="1" applyAlignment="1">
      <alignment vertical="center" wrapText="1"/>
    </xf>
    <xf numFmtId="0" fontId="0" fillId="2" borderId="0" xfId="0" applyFill="1" applyBorder="1"/>
    <xf numFmtId="0" fontId="5" fillId="2" borderId="4" xfId="0" applyFont="1" applyFill="1" applyBorder="1" applyAlignment="1">
      <alignment horizontal="center" vertical="center" wrapText="1"/>
    </xf>
    <xf numFmtId="165" fontId="5" fillId="2" borderId="4" xfId="0" applyNumberFormat="1" applyFont="1" applyFill="1" applyBorder="1" applyAlignment="1">
      <alignment vertical="center" wrapText="1"/>
    </xf>
    <xf numFmtId="165" fontId="30" fillId="2" borderId="4" xfId="0" applyNumberFormat="1" applyFont="1" applyFill="1" applyBorder="1" applyAlignment="1">
      <alignment vertical="center" wrapText="1"/>
    </xf>
    <xf numFmtId="165" fontId="30" fillId="2" borderId="1" xfId="0" applyNumberFormat="1" applyFont="1" applyFill="1" applyBorder="1" applyAlignment="1">
      <alignment vertical="center" wrapText="1"/>
    </xf>
    <xf numFmtId="166" fontId="33" fillId="0" borderId="0" xfId="0" applyNumberFormat="1" applyFont="1"/>
    <xf numFmtId="0" fontId="5" fillId="0" borderId="0" xfId="0" applyFont="1" applyAlignment="1">
      <alignment horizontal="left" vertical="center"/>
    </xf>
    <xf numFmtId="0" fontId="5" fillId="0" borderId="0" xfId="0" applyFont="1" applyAlignment="1">
      <alignment horizontal="center" vertical="center"/>
    </xf>
    <xf numFmtId="165" fontId="5" fillId="0" borderId="1" xfId="0" applyNumberFormat="1" applyFont="1" applyBorder="1" applyAlignment="1"/>
    <xf numFmtId="0" fontId="18" fillId="5" borderId="0" xfId="0" applyFont="1" applyFill="1"/>
    <xf numFmtId="165" fontId="28" fillId="2" borderId="0" xfId="0" applyNumberFormat="1" applyFont="1" applyFill="1"/>
    <xf numFmtId="165" fontId="28" fillId="2" borderId="0" xfId="0" applyNumberFormat="1" applyFont="1" applyFill="1" applyAlignment="1">
      <alignment horizontal="right"/>
    </xf>
    <xf numFmtId="0" fontId="5" fillId="2" borderId="0" xfId="0" applyNumberFormat="1" applyFont="1" applyFill="1" applyBorder="1" applyAlignment="1">
      <alignment horizontal="left" vertical="center" wrapText="1"/>
    </xf>
    <xf numFmtId="0" fontId="30"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0" fillId="2" borderId="0" xfId="0" applyFont="1" applyFill="1"/>
    <xf numFmtId="0" fontId="11" fillId="2" borderId="0" xfId="0" applyFont="1" applyFill="1" applyAlignment="1">
      <alignment horizontal="center"/>
    </xf>
    <xf numFmtId="0" fontId="35" fillId="2" borderId="0" xfId="0" applyFont="1" applyFill="1" applyAlignment="1">
      <alignment horizontal="center" vertical="center"/>
    </xf>
    <xf numFmtId="0" fontId="5" fillId="2" borderId="0" xfId="0" applyFont="1" applyFill="1"/>
    <xf numFmtId="0" fontId="5" fillId="2" borderId="0" xfId="0" applyNumberFormat="1" applyFont="1" applyFill="1" applyAlignment="1">
      <alignment horizontal="left" wrapText="1"/>
    </xf>
    <xf numFmtId="0" fontId="30" fillId="2" borderId="0" xfId="0" applyNumberFormat="1" applyFont="1" applyFill="1" applyAlignment="1">
      <alignment horizontal="center" vertical="center" wrapText="1"/>
    </xf>
    <xf numFmtId="0" fontId="41" fillId="2" borderId="0" xfId="0" applyFont="1" applyFill="1"/>
    <xf numFmtId="0" fontId="0" fillId="2" borderId="0" xfId="0" applyFill="1" applyAlignment="1">
      <alignment horizontal="center"/>
    </xf>
    <xf numFmtId="0" fontId="42" fillId="2" borderId="0" xfId="0" applyFont="1" applyFill="1" applyAlignment="1">
      <alignment horizontal="center" vertical="center"/>
    </xf>
    <xf numFmtId="0" fontId="31" fillId="2" borderId="0" xfId="0" applyFont="1" applyFill="1"/>
    <xf numFmtId="0" fontId="43" fillId="0" borderId="0" xfId="8"/>
    <xf numFmtId="0" fontId="45" fillId="0" borderId="0" xfId="8" applyFont="1" applyAlignment="1">
      <alignment horizontal="center"/>
    </xf>
    <xf numFmtId="0" fontId="46" fillId="0" borderId="0" xfId="8" applyFont="1" applyAlignment="1">
      <alignment horizontal="center"/>
    </xf>
    <xf numFmtId="0" fontId="37" fillId="0" borderId="9" xfId="8" applyFont="1" applyBorder="1" applyAlignment="1">
      <alignment horizontal="center" vertical="center" wrapText="1"/>
    </xf>
    <xf numFmtId="0" fontId="29" fillId="0" borderId="9" xfId="8" applyFont="1" applyBorder="1" applyAlignment="1">
      <alignment horizontal="center" vertical="center" wrapText="1"/>
    </xf>
    <xf numFmtId="0" fontId="37" fillId="7" borderId="1" xfId="8" applyFont="1" applyFill="1" applyBorder="1" applyAlignment="1">
      <alignment horizontal="center" vertical="center" wrapText="1"/>
    </xf>
    <xf numFmtId="0" fontId="37" fillId="8" borderId="1" xfId="8" applyFont="1" applyFill="1" applyBorder="1" applyAlignment="1">
      <alignment horizontal="center" vertical="center" wrapText="1"/>
    </xf>
    <xf numFmtId="0" fontId="47" fillId="0" borderId="6" xfId="8" applyFont="1" applyBorder="1" applyAlignment="1">
      <alignment horizontal="center" vertical="center" wrapText="1"/>
    </xf>
    <xf numFmtId="0" fontId="47" fillId="0" borderId="6" xfId="8" applyFont="1" applyBorder="1" applyAlignment="1">
      <alignment horizontal="center" vertical="center"/>
    </xf>
    <xf numFmtId="0" fontId="47" fillId="7" borderId="4" xfId="8" applyFont="1" applyFill="1" applyBorder="1" applyAlignment="1">
      <alignment horizontal="center" vertical="center" wrapText="1"/>
    </xf>
    <xf numFmtId="0" fontId="47" fillId="8" borderId="4" xfId="8" applyFont="1" applyFill="1" applyBorder="1" applyAlignment="1">
      <alignment horizontal="center" vertical="center" wrapText="1"/>
    </xf>
    <xf numFmtId="0" fontId="47" fillId="2" borderId="5" xfId="8" applyFont="1" applyFill="1" applyBorder="1" applyAlignment="1">
      <alignment horizontal="center" vertical="center" wrapText="1"/>
    </xf>
    <xf numFmtId="0" fontId="47" fillId="0" borderId="1" xfId="8" applyFont="1" applyBorder="1" applyAlignment="1">
      <alignment horizontal="center" vertical="center" wrapText="1"/>
    </xf>
    <xf numFmtId="164" fontId="48" fillId="10" borderId="1" xfId="8" applyNumberFormat="1" applyFont="1" applyFill="1" applyBorder="1" applyAlignment="1">
      <alignment horizontal="center" vertical="center" wrapText="1"/>
    </xf>
    <xf numFmtId="168" fontId="48" fillId="10" borderId="1" xfId="9" applyFont="1" applyFill="1" applyBorder="1" applyAlignment="1">
      <alignment vertical="center"/>
    </xf>
    <xf numFmtId="164" fontId="48" fillId="10" borderId="1" xfId="8" applyNumberFormat="1" applyFont="1" applyFill="1" applyBorder="1" applyAlignment="1">
      <alignment horizontal="right" vertical="center"/>
    </xf>
    <xf numFmtId="168" fontId="10" fillId="0" borderId="1" xfId="9" applyFont="1" applyBorder="1" applyAlignment="1">
      <alignment horizontal="center" vertical="center"/>
    </xf>
    <xf numFmtId="0" fontId="37" fillId="11" borderId="1" xfId="8" applyFont="1" applyFill="1" applyBorder="1" applyAlignment="1">
      <alignment horizontal="right" vertical="center"/>
    </xf>
    <xf numFmtId="0" fontId="49" fillId="11" borderId="1" xfId="8" applyFont="1" applyFill="1" applyBorder="1" applyAlignment="1">
      <alignment vertical="center" wrapText="1"/>
    </xf>
    <xf numFmtId="168" fontId="37" fillId="11" borderId="4" xfId="9" applyFont="1" applyFill="1" applyBorder="1" applyAlignment="1">
      <alignment vertical="center"/>
    </xf>
    <xf numFmtId="168" fontId="48" fillId="11" borderId="1" xfId="9" applyFont="1" applyFill="1" applyBorder="1" applyAlignment="1">
      <alignment vertical="center"/>
    </xf>
    <xf numFmtId="164" fontId="37" fillId="11" borderId="1" xfId="8" applyNumberFormat="1" applyFont="1" applyFill="1" applyBorder="1" applyAlignment="1">
      <alignment horizontal="right" vertical="center"/>
    </xf>
    <xf numFmtId="0" fontId="10" fillId="0" borderId="1" xfId="8" applyFont="1" applyBorder="1" applyAlignment="1">
      <alignment vertical="center" wrapText="1"/>
    </xf>
    <xf numFmtId="164" fontId="37" fillId="9" borderId="1" xfId="8" applyNumberFormat="1" applyFont="1" applyFill="1" applyBorder="1" applyAlignment="1">
      <alignment horizontal="center" vertical="center" wrapText="1"/>
    </xf>
    <xf numFmtId="168" fontId="48" fillId="9" borderId="1" xfId="9" applyFont="1" applyFill="1" applyBorder="1" applyAlignment="1">
      <alignment vertical="center"/>
    </xf>
    <xf numFmtId="164" fontId="37" fillId="9" borderId="1" xfId="8" applyNumberFormat="1" applyFont="1" applyFill="1" applyBorder="1" applyAlignment="1">
      <alignment horizontal="right" vertical="center"/>
    </xf>
    <xf numFmtId="0" fontId="10" fillId="0" borderId="1" xfId="8" applyFont="1" applyBorder="1"/>
    <xf numFmtId="0" fontId="37" fillId="12" borderId="6" xfId="8" applyFont="1" applyFill="1" applyBorder="1" applyAlignment="1">
      <alignment horizontal="right" vertical="center" wrapText="1"/>
    </xf>
    <xf numFmtId="0" fontId="37" fillId="12" borderId="6" xfId="8" applyFont="1" applyFill="1" applyBorder="1" applyAlignment="1">
      <alignment horizontal="left" vertical="center" wrapText="1"/>
    </xf>
    <xf numFmtId="164" fontId="37" fillId="12" borderId="5" xfId="8" applyNumberFormat="1" applyFont="1" applyFill="1" applyBorder="1" applyAlignment="1">
      <alignment horizontal="center" vertical="center" wrapText="1"/>
    </xf>
    <xf numFmtId="168" fontId="48" fillId="12" borderId="6" xfId="9" applyFont="1" applyFill="1" applyBorder="1" applyAlignment="1">
      <alignment vertical="center"/>
    </xf>
    <xf numFmtId="164" fontId="37" fillId="12" borderId="6" xfId="8" applyNumberFormat="1" applyFont="1" applyFill="1" applyBorder="1" applyAlignment="1">
      <alignment horizontal="right" vertical="center"/>
    </xf>
    <xf numFmtId="0" fontId="10" fillId="2" borderId="1" xfId="8" applyFont="1" applyFill="1" applyBorder="1"/>
    <xf numFmtId="0" fontId="37" fillId="13" borderId="5" xfId="8" applyFont="1" applyFill="1" applyBorder="1" applyAlignment="1">
      <alignment horizontal="right" vertical="center" wrapText="1"/>
    </xf>
    <xf numFmtId="0" fontId="37" fillId="13" borderId="5" xfId="8" applyFont="1" applyFill="1" applyBorder="1" applyAlignment="1">
      <alignment horizontal="left" vertical="center" wrapText="1"/>
    </xf>
    <xf numFmtId="164" fontId="37" fillId="13" borderId="4" xfId="8" applyNumberFormat="1" applyFont="1" applyFill="1" applyBorder="1" applyAlignment="1">
      <alignment horizontal="center" vertical="center" wrapText="1"/>
    </xf>
    <xf numFmtId="168" fontId="48" fillId="13" borderId="1" xfId="9" applyFont="1" applyFill="1" applyBorder="1" applyAlignment="1">
      <alignment vertical="center"/>
    </xf>
    <xf numFmtId="164" fontId="37" fillId="13" borderId="1" xfId="8" applyNumberFormat="1" applyFont="1" applyFill="1" applyBorder="1" applyAlignment="1">
      <alignment horizontal="right" vertical="center"/>
    </xf>
    <xf numFmtId="49" fontId="50" fillId="0" borderId="4" xfId="8" applyNumberFormat="1" applyFont="1" applyFill="1" applyBorder="1" applyAlignment="1">
      <alignment horizontal="right" vertical="center" wrapText="1"/>
    </xf>
    <xf numFmtId="0" fontId="50" fillId="0" borderId="4" xfId="8" applyFont="1" applyBorder="1" applyAlignment="1">
      <alignment horizontal="left" vertical="center" wrapText="1"/>
    </xf>
    <xf numFmtId="164" fontId="37" fillId="0" borderId="4" xfId="8" applyNumberFormat="1" applyFont="1" applyBorder="1" applyAlignment="1">
      <alignment horizontal="center" vertical="center" wrapText="1"/>
    </xf>
    <xf numFmtId="168" fontId="48" fillId="2" borderId="1" xfId="9" applyFont="1" applyFill="1" applyBorder="1" applyAlignment="1">
      <alignment vertical="center"/>
    </xf>
    <xf numFmtId="49" fontId="37" fillId="0" borderId="4" xfId="8" applyNumberFormat="1" applyFont="1" applyFill="1" applyBorder="1" applyAlignment="1">
      <alignment horizontal="right" vertical="center" wrapText="1"/>
    </xf>
    <xf numFmtId="0" fontId="10" fillId="0" borderId="4" xfId="8" applyNumberFormat="1" applyFont="1" applyFill="1" applyBorder="1" applyAlignment="1">
      <alignment horizontal="left" vertical="top" wrapText="1"/>
    </xf>
    <xf numFmtId="168" fontId="37" fillId="0" borderId="4" xfId="9" applyFont="1" applyFill="1" applyBorder="1" applyAlignment="1">
      <alignment horizontal="center" vertical="center" wrapText="1"/>
    </xf>
    <xf numFmtId="168" fontId="37" fillId="0" borderId="4" xfId="9" applyNumberFormat="1" applyFont="1" applyFill="1" applyBorder="1" applyAlignment="1">
      <alignment horizontal="center" vertical="center" wrapText="1"/>
    </xf>
    <xf numFmtId="164" fontId="37" fillId="0" borderId="1" xfId="8" applyNumberFormat="1" applyFont="1" applyFill="1" applyBorder="1" applyAlignment="1">
      <alignment horizontal="right" vertical="center"/>
    </xf>
    <xf numFmtId="0" fontId="10" fillId="0" borderId="1" xfId="8" applyFont="1" applyBorder="1" applyAlignment="1">
      <alignment vertical="center"/>
    </xf>
    <xf numFmtId="49" fontId="37" fillId="2" borderId="4" xfId="8" applyNumberFormat="1" applyFont="1" applyFill="1" applyBorder="1" applyAlignment="1">
      <alignment horizontal="right" vertical="center" wrapText="1"/>
    </xf>
    <xf numFmtId="0" fontId="10" fillId="2" borderId="1" xfId="8" applyFont="1" applyFill="1" applyBorder="1" applyAlignment="1">
      <alignment horizontal="left" vertical="center" wrapText="1"/>
    </xf>
    <xf numFmtId="168" fontId="37" fillId="2" borderId="1" xfId="9" applyFont="1" applyFill="1" applyBorder="1" applyAlignment="1">
      <alignment vertical="center" wrapText="1"/>
    </xf>
    <xf numFmtId="0" fontId="10" fillId="0" borderId="1" xfId="8" applyFont="1" applyBorder="1" applyAlignment="1">
      <alignment horizontal="left" vertical="center"/>
    </xf>
    <xf numFmtId="164" fontId="37" fillId="2" borderId="1" xfId="8" applyNumberFormat="1" applyFont="1" applyFill="1" applyBorder="1" applyAlignment="1">
      <alignment horizontal="right" vertical="center"/>
    </xf>
    <xf numFmtId="0" fontId="52" fillId="2" borderId="1" xfId="8" applyFont="1" applyFill="1" applyBorder="1" applyAlignment="1">
      <alignment horizontal="left" vertical="center" wrapText="1"/>
    </xf>
    <xf numFmtId="168" fontId="53" fillId="2" borderId="4" xfId="9" applyFont="1" applyFill="1" applyBorder="1" applyAlignment="1">
      <alignment vertical="center" wrapText="1"/>
    </xf>
    <xf numFmtId="168" fontId="54" fillId="2" borderId="1" xfId="9" applyFont="1" applyFill="1" applyBorder="1" applyAlignment="1">
      <alignment vertical="center"/>
    </xf>
    <xf numFmtId="164" fontId="53" fillId="2" borderId="1" xfId="8" applyNumberFormat="1" applyFont="1" applyFill="1" applyBorder="1" applyAlignment="1">
      <alignment horizontal="right" vertical="center"/>
    </xf>
    <xf numFmtId="168" fontId="37" fillId="2" borderId="4" xfId="9" applyFont="1" applyFill="1" applyBorder="1" applyAlignment="1">
      <alignment vertical="center" wrapText="1"/>
    </xf>
    <xf numFmtId="168" fontId="50" fillId="2" borderId="4" xfId="9" applyFont="1" applyFill="1" applyBorder="1" applyAlignment="1">
      <alignment vertical="center" wrapText="1"/>
    </xf>
    <xf numFmtId="49" fontId="37" fillId="13" borderId="1" xfId="8" applyNumberFormat="1" applyFont="1" applyFill="1" applyBorder="1" applyAlignment="1">
      <alignment horizontal="right" vertical="center"/>
    </xf>
    <xf numFmtId="0" fontId="37" fillId="13" borderId="1" xfId="8" applyFont="1" applyFill="1" applyBorder="1" applyAlignment="1">
      <alignment horizontal="left" vertical="center" wrapText="1"/>
    </xf>
    <xf numFmtId="49" fontId="50" fillId="0" borderId="1" xfId="8" applyNumberFormat="1" applyFont="1" applyFill="1" applyBorder="1" applyAlignment="1">
      <alignment horizontal="right" vertical="center"/>
    </xf>
    <xf numFmtId="0" fontId="50" fillId="0" borderId="1" xfId="8" applyFont="1" applyFill="1" applyBorder="1" applyAlignment="1">
      <alignment horizontal="left" vertical="center" wrapText="1"/>
    </xf>
    <xf numFmtId="164" fontId="37" fillId="0" borderId="1" xfId="8" applyNumberFormat="1" applyFont="1" applyBorder="1" applyAlignment="1">
      <alignment horizontal="center" vertical="center" wrapText="1"/>
    </xf>
    <xf numFmtId="49" fontId="37" fillId="0" borderId="1" xfId="8" applyNumberFormat="1" applyFont="1" applyFill="1" applyBorder="1" applyAlignment="1">
      <alignment horizontal="right" vertical="center"/>
    </xf>
    <xf numFmtId="0" fontId="10" fillId="0" borderId="1" xfId="8" applyFont="1" applyFill="1" applyBorder="1" applyAlignment="1">
      <alignment horizontal="left" vertical="center" wrapText="1"/>
    </xf>
    <xf numFmtId="164" fontId="36" fillId="0" borderId="4" xfId="8" applyNumberFormat="1" applyFont="1" applyBorder="1" applyAlignment="1">
      <alignment horizontal="center" vertical="center" wrapText="1"/>
    </xf>
    <xf numFmtId="49" fontId="37" fillId="2" borderId="1" xfId="8" applyNumberFormat="1" applyFont="1" applyFill="1" applyBorder="1" applyAlignment="1">
      <alignment horizontal="right" vertical="center"/>
    </xf>
    <xf numFmtId="164" fontId="37" fillId="2" borderId="4" xfId="8" applyNumberFormat="1" applyFont="1" applyFill="1" applyBorder="1" applyAlignment="1">
      <alignment horizontal="center" vertical="center" wrapText="1"/>
    </xf>
    <xf numFmtId="49" fontId="37" fillId="12" borderId="1" xfId="8" applyNumberFormat="1" applyFont="1" applyFill="1" applyBorder="1" applyAlignment="1">
      <alignment horizontal="right" vertical="center"/>
    </xf>
    <xf numFmtId="0" fontId="37" fillId="12" borderId="1" xfId="8" applyFont="1" applyFill="1" applyBorder="1" applyAlignment="1">
      <alignment horizontal="left" vertical="center" wrapText="1"/>
    </xf>
    <xf numFmtId="164" fontId="37" fillId="12" borderId="4" xfId="8" applyNumberFormat="1" applyFont="1" applyFill="1" applyBorder="1" applyAlignment="1">
      <alignment horizontal="center" vertical="center" wrapText="1"/>
    </xf>
    <xf numFmtId="168" fontId="48" fillId="12" borderId="1" xfId="9" applyFont="1" applyFill="1" applyBorder="1" applyAlignment="1">
      <alignment vertical="center"/>
    </xf>
    <xf numFmtId="164" fontId="37" fillId="12" borderId="1" xfId="8" applyNumberFormat="1" applyFont="1" applyFill="1" applyBorder="1" applyAlignment="1">
      <alignment horizontal="right" vertical="center"/>
    </xf>
    <xf numFmtId="49" fontId="50" fillId="2" borderId="6" xfId="8" applyNumberFormat="1" applyFont="1" applyFill="1" applyBorder="1" applyAlignment="1">
      <alignment horizontal="right" vertical="center"/>
    </xf>
    <xf numFmtId="0" fontId="50" fillId="0" borderId="11" xfId="8" applyFont="1" applyFill="1" applyBorder="1" applyAlignment="1">
      <alignment horizontal="left" vertical="center" wrapText="1"/>
    </xf>
    <xf numFmtId="0" fontId="10" fillId="0" borderId="11" xfId="8" applyFont="1" applyFill="1" applyBorder="1" applyAlignment="1">
      <alignment horizontal="left" vertical="center" wrapText="1"/>
    </xf>
    <xf numFmtId="0" fontId="52" fillId="0" borderId="11" xfId="8" applyFont="1" applyFill="1" applyBorder="1" applyAlignment="1">
      <alignment horizontal="left" vertical="center" wrapText="1"/>
    </xf>
    <xf numFmtId="164" fontId="37" fillId="0" borderId="4" xfId="8" applyNumberFormat="1" applyFont="1" applyFill="1" applyBorder="1" applyAlignment="1">
      <alignment horizontal="center" vertical="center" wrapText="1"/>
    </xf>
    <xf numFmtId="164" fontId="36" fillId="0" borderId="4" xfId="8" applyNumberFormat="1" applyFont="1" applyFill="1" applyBorder="1" applyAlignment="1">
      <alignment horizontal="center" vertical="center" wrapText="1"/>
    </xf>
    <xf numFmtId="168" fontId="37" fillId="0" borderId="1" xfId="9" applyFont="1" applyFill="1" applyBorder="1" applyAlignment="1">
      <alignment vertical="center" wrapText="1"/>
    </xf>
    <xf numFmtId="168" fontId="36" fillId="0" borderId="1" xfId="9" applyFont="1" applyFill="1" applyBorder="1" applyAlignment="1">
      <alignment vertical="center" wrapText="1"/>
    </xf>
    <xf numFmtId="49" fontId="37" fillId="2" borderId="6" xfId="8" applyNumberFormat="1" applyFont="1" applyFill="1" applyBorder="1" applyAlignment="1">
      <alignment horizontal="right" vertical="center"/>
    </xf>
    <xf numFmtId="0" fontId="20" fillId="2" borderId="1" xfId="8" applyFont="1" applyFill="1" applyBorder="1" applyAlignment="1">
      <alignment horizontal="left" vertical="center" wrapText="1"/>
    </xf>
    <xf numFmtId="0" fontId="10" fillId="2" borderId="1" xfId="8" applyFont="1" applyFill="1" applyBorder="1" applyAlignment="1">
      <alignment vertical="center" wrapText="1"/>
    </xf>
    <xf numFmtId="168" fontId="53" fillId="0" borderId="1" xfId="9" applyFont="1" applyFill="1" applyBorder="1" applyAlignment="1">
      <alignment vertical="center" wrapText="1"/>
    </xf>
    <xf numFmtId="164" fontId="53" fillId="0" borderId="1" xfId="8" applyNumberFormat="1" applyFont="1" applyFill="1" applyBorder="1" applyAlignment="1">
      <alignment horizontal="right" vertical="center"/>
    </xf>
    <xf numFmtId="168" fontId="53" fillId="0" borderId="1" xfId="9" applyFont="1" applyBorder="1" applyAlignment="1">
      <alignment vertical="center"/>
    </xf>
    <xf numFmtId="168" fontId="53" fillId="0" borderId="4" xfId="9" applyFont="1" applyFill="1" applyBorder="1" applyAlignment="1">
      <alignment vertical="center" wrapText="1"/>
    </xf>
    <xf numFmtId="168" fontId="37" fillId="0" borderId="4" xfId="9" applyFont="1" applyFill="1" applyBorder="1" applyAlignment="1">
      <alignment vertical="center" wrapText="1"/>
    </xf>
    <xf numFmtId="49" fontId="50" fillId="0" borderId="4" xfId="8" applyNumberFormat="1" applyFont="1" applyFill="1" applyBorder="1" applyAlignment="1">
      <alignment horizontal="right" vertical="center"/>
    </xf>
    <xf numFmtId="0" fontId="50" fillId="0" borderId="4" xfId="8" applyFont="1" applyFill="1" applyBorder="1" applyAlignment="1">
      <alignment horizontal="left" vertical="center" wrapText="1"/>
    </xf>
    <xf numFmtId="164" fontId="37" fillId="0" borderId="4" xfId="8" applyNumberFormat="1" applyFont="1" applyFill="1" applyBorder="1" applyAlignment="1">
      <alignment horizontal="right" vertical="center"/>
    </xf>
    <xf numFmtId="0" fontId="10" fillId="0" borderId="12" xfId="8" applyFont="1" applyFill="1" applyBorder="1" applyAlignment="1">
      <alignment horizontal="left" vertical="center" wrapText="1"/>
    </xf>
    <xf numFmtId="0" fontId="36" fillId="0" borderId="11" xfId="8" applyFont="1" applyFill="1" applyBorder="1" applyAlignment="1">
      <alignment horizontal="left" vertical="center" wrapText="1"/>
    </xf>
    <xf numFmtId="43" fontId="43" fillId="0" borderId="0" xfId="8" applyNumberFormat="1"/>
    <xf numFmtId="0" fontId="52" fillId="0" borderId="1" xfId="8" applyFont="1" applyFill="1" applyBorder="1" applyAlignment="1">
      <alignment horizontal="left" vertical="center" wrapText="1"/>
    </xf>
    <xf numFmtId="49" fontId="37" fillId="0" borderId="5" xfId="8" applyNumberFormat="1" applyFont="1" applyFill="1" applyBorder="1" applyAlignment="1">
      <alignment horizontal="right" vertical="top"/>
    </xf>
    <xf numFmtId="0" fontId="10" fillId="0" borderId="14" xfId="8" applyFont="1" applyFill="1" applyBorder="1" applyAlignment="1">
      <alignment horizontal="left" vertical="center" wrapText="1"/>
    </xf>
    <xf numFmtId="4" fontId="37" fillId="0" borderId="1" xfId="9" applyNumberFormat="1" applyFont="1" applyFill="1" applyBorder="1" applyAlignment="1">
      <alignment vertical="center" wrapText="1"/>
    </xf>
    <xf numFmtId="0" fontId="10" fillId="0" borderId="6" xfId="8" applyFont="1" applyBorder="1" applyAlignment="1">
      <alignment vertical="center"/>
    </xf>
    <xf numFmtId="49" fontId="37" fillId="0" borderId="4" xfId="8" applyNumberFormat="1" applyFont="1" applyFill="1" applyBorder="1" applyAlignment="1">
      <alignment horizontal="right" vertical="center"/>
    </xf>
    <xf numFmtId="164" fontId="37" fillId="2" borderId="5" xfId="8" applyNumberFormat="1" applyFont="1" applyFill="1" applyBorder="1" applyAlignment="1">
      <alignment horizontal="center" vertical="center" wrapText="1"/>
    </xf>
    <xf numFmtId="168" fontId="48" fillId="2" borderId="6" xfId="9" applyFont="1" applyFill="1" applyBorder="1" applyAlignment="1">
      <alignment vertical="center"/>
    </xf>
    <xf numFmtId="164" fontId="37" fillId="0" borderId="6" xfId="8" applyNumberFormat="1" applyFont="1" applyFill="1" applyBorder="1" applyAlignment="1">
      <alignment horizontal="right" vertical="center"/>
    </xf>
    <xf numFmtId="0" fontId="10" fillId="0" borderId="6" xfId="8" applyFont="1" applyBorder="1"/>
    <xf numFmtId="49" fontId="37" fillId="0" borderId="5" xfId="8" applyNumberFormat="1" applyFont="1" applyFill="1" applyBorder="1" applyAlignment="1">
      <alignment vertical="center"/>
    </xf>
    <xf numFmtId="0" fontId="10" fillId="0" borderId="5" xfId="8" applyFont="1" applyBorder="1" applyAlignment="1">
      <alignment vertical="center"/>
    </xf>
    <xf numFmtId="168" fontId="53" fillId="0" borderId="4" xfId="9" applyFont="1" applyBorder="1" applyAlignment="1">
      <alignment vertical="center"/>
    </xf>
    <xf numFmtId="168" fontId="48" fillId="2" borderId="4" xfId="9" applyFont="1" applyFill="1" applyBorder="1" applyAlignment="1">
      <alignment vertical="center"/>
    </xf>
    <xf numFmtId="164" fontId="53" fillId="0" borderId="4" xfId="8" applyNumberFormat="1" applyFont="1" applyFill="1" applyBorder="1" applyAlignment="1">
      <alignment horizontal="right" vertical="center"/>
    </xf>
    <xf numFmtId="0" fontId="10" fillId="0" borderId="4" xfId="8" applyFont="1" applyBorder="1"/>
    <xf numFmtId="0" fontId="52" fillId="0" borderId="14" xfId="8" applyFont="1" applyFill="1" applyBorder="1" applyAlignment="1">
      <alignment horizontal="left" vertical="center" wrapText="1"/>
    </xf>
    <xf numFmtId="168" fontId="37" fillId="0" borderId="1" xfId="9" applyFont="1" applyBorder="1" applyAlignment="1">
      <alignment vertical="center"/>
    </xf>
    <xf numFmtId="49" fontId="37" fillId="0" borderId="5" xfId="8" applyNumberFormat="1" applyFont="1" applyFill="1" applyBorder="1" applyAlignment="1">
      <alignment horizontal="right" vertical="center"/>
    </xf>
    <xf numFmtId="49" fontId="37" fillId="0" borderId="6" xfId="8" applyNumberFormat="1" applyFont="1" applyFill="1" applyBorder="1" applyAlignment="1">
      <alignment horizontal="right" vertical="center"/>
    </xf>
    <xf numFmtId="0" fontId="50" fillId="0" borderId="6" xfId="8" applyFont="1" applyBorder="1" applyAlignment="1">
      <alignment horizontal="right" vertical="center"/>
    </xf>
    <xf numFmtId="0" fontId="50" fillId="0" borderId="6" xfId="8" applyFont="1" applyFill="1" applyBorder="1" applyAlignment="1">
      <alignment horizontal="left" vertical="center" wrapText="1"/>
    </xf>
    <xf numFmtId="0" fontId="37" fillId="0" borderId="4" xfId="8" applyFont="1" applyBorder="1" applyAlignment="1">
      <alignment horizontal="right" vertical="center"/>
    </xf>
    <xf numFmtId="0" fontId="10" fillId="0" borderId="11" xfId="8" applyFont="1" applyBorder="1" applyAlignment="1">
      <alignment vertical="center" wrapText="1"/>
    </xf>
    <xf numFmtId="0" fontId="37" fillId="0" borderId="5" xfId="8" applyFont="1" applyBorder="1" applyAlignment="1">
      <alignment vertical="center"/>
    </xf>
    <xf numFmtId="0" fontId="37" fillId="12" borderId="6" xfId="8" applyFont="1" applyFill="1" applyBorder="1" applyAlignment="1">
      <alignment horizontal="right" vertical="center"/>
    </xf>
    <xf numFmtId="0" fontId="37" fillId="12" borderId="11" xfId="8" applyFont="1" applyFill="1" applyBorder="1" applyAlignment="1">
      <alignment horizontal="left" vertical="center" wrapText="1"/>
    </xf>
    <xf numFmtId="0" fontId="37" fillId="0" borderId="6" xfId="8" applyFont="1" applyBorder="1" applyAlignment="1">
      <alignment horizontal="right" vertical="center"/>
    </xf>
    <xf numFmtId="14" fontId="55" fillId="2" borderId="6" xfId="8" applyNumberFormat="1" applyFont="1" applyFill="1" applyBorder="1" applyAlignment="1">
      <alignment horizontal="right" vertical="center"/>
    </xf>
    <xf numFmtId="0" fontId="49" fillId="0" borderId="6" xfId="8" applyFont="1" applyFill="1" applyBorder="1" applyAlignment="1">
      <alignment horizontal="left" vertical="center" wrapText="1"/>
    </xf>
    <xf numFmtId="0" fontId="55" fillId="2" borderId="1" xfId="8" applyFont="1" applyFill="1" applyBorder="1" applyAlignment="1">
      <alignment horizontal="right" vertical="center"/>
    </xf>
    <xf numFmtId="168" fontId="37" fillId="2" borderId="1" xfId="9" applyFont="1" applyFill="1" applyBorder="1" applyAlignment="1">
      <alignment vertical="center"/>
    </xf>
    <xf numFmtId="168" fontId="53" fillId="2" borderId="1" xfId="9" applyFont="1" applyFill="1" applyBorder="1" applyAlignment="1">
      <alignment vertical="center"/>
    </xf>
    <xf numFmtId="168" fontId="37" fillId="0" borderId="4" xfId="9" applyFont="1" applyBorder="1" applyAlignment="1">
      <alignment vertical="center"/>
    </xf>
    <xf numFmtId="0" fontId="37" fillId="12" borderId="1" xfId="8" applyFont="1" applyFill="1" applyBorder="1" applyAlignment="1">
      <alignment horizontal="right" vertical="center"/>
    </xf>
    <xf numFmtId="0" fontId="37" fillId="12" borderId="1" xfId="8" applyFont="1" applyFill="1" applyBorder="1" applyAlignment="1">
      <alignment vertical="center" wrapText="1"/>
    </xf>
    <xf numFmtId="0" fontId="50" fillId="0" borderId="1" xfId="8" applyFont="1" applyBorder="1" applyAlignment="1">
      <alignment horizontal="right" vertical="center"/>
    </xf>
    <xf numFmtId="0" fontId="50" fillId="0" borderId="1" xfId="8" applyFont="1" applyBorder="1" applyAlignment="1">
      <alignment vertical="center" wrapText="1"/>
    </xf>
    <xf numFmtId="14" fontId="37" fillId="14" borderId="1" xfId="8" applyNumberFormat="1" applyFont="1" applyFill="1" applyBorder="1" applyAlignment="1">
      <alignment horizontal="center" vertical="center" wrapText="1"/>
    </xf>
    <xf numFmtId="0" fontId="37" fillId="14" borderId="1" xfId="8" applyFont="1" applyFill="1" applyBorder="1" applyAlignment="1">
      <alignment vertical="center" wrapText="1"/>
    </xf>
    <xf numFmtId="164" fontId="37" fillId="14" borderId="4" xfId="8" applyNumberFormat="1" applyFont="1" applyFill="1" applyBorder="1" applyAlignment="1">
      <alignment horizontal="center" vertical="center" wrapText="1"/>
    </xf>
    <xf numFmtId="168" fontId="48" fillId="15" borderId="1" xfId="9" applyFont="1" applyFill="1" applyBorder="1" applyAlignment="1">
      <alignment vertical="center"/>
    </xf>
    <xf numFmtId="164" fontId="37" fillId="14" borderId="1" xfId="8" applyNumberFormat="1" applyFont="1" applyFill="1" applyBorder="1" applyAlignment="1">
      <alignment horizontal="right" vertical="center"/>
    </xf>
    <xf numFmtId="0" fontId="37" fillId="0" borderId="1" xfId="8" applyFont="1" applyFill="1" applyBorder="1" applyAlignment="1">
      <alignment vertical="center"/>
    </xf>
    <xf numFmtId="0" fontId="37" fillId="0" borderId="1" xfId="8" applyFont="1" applyFill="1" applyBorder="1" applyAlignment="1">
      <alignment vertical="center" wrapText="1"/>
    </xf>
    <xf numFmtId="0" fontId="49" fillId="0" borderId="1" xfId="8" applyFont="1" applyFill="1" applyBorder="1" applyAlignment="1">
      <alignment vertical="center" wrapText="1"/>
    </xf>
    <xf numFmtId="0" fontId="37" fillId="2" borderId="1" xfId="8" applyFont="1" applyFill="1" applyBorder="1" applyAlignment="1">
      <alignment vertical="center"/>
    </xf>
    <xf numFmtId="0" fontId="52" fillId="2" borderId="1" xfId="8" applyFont="1" applyFill="1" applyBorder="1" applyAlignment="1">
      <alignment vertical="center" wrapText="1"/>
    </xf>
    <xf numFmtId="164" fontId="53" fillId="2" borderId="4" xfId="8" applyNumberFormat="1" applyFont="1" applyFill="1" applyBorder="1" applyAlignment="1">
      <alignment horizontal="center" vertical="center" wrapText="1"/>
    </xf>
    <xf numFmtId="0" fontId="52" fillId="0" borderId="1" xfId="8" applyFont="1" applyFill="1" applyBorder="1" applyAlignment="1">
      <alignment vertical="center" wrapText="1"/>
    </xf>
    <xf numFmtId="168" fontId="53" fillId="0" borderId="1" xfId="9" applyFont="1" applyFill="1" applyBorder="1" applyAlignment="1">
      <alignment vertical="center"/>
    </xf>
    <xf numFmtId="164" fontId="53" fillId="0" borderId="4" xfId="8" applyNumberFormat="1" applyFont="1" applyFill="1" applyBorder="1" applyAlignment="1">
      <alignment horizontal="center" vertical="center" wrapText="1"/>
    </xf>
    <xf numFmtId="0" fontId="37" fillId="15" borderId="1" xfId="8" applyFont="1" applyFill="1" applyBorder="1" applyAlignment="1">
      <alignment vertical="center"/>
    </xf>
    <xf numFmtId="0" fontId="37" fillId="15" borderId="1" xfId="8" applyFont="1" applyFill="1" applyBorder="1" applyAlignment="1">
      <alignment vertical="center" wrapText="1"/>
    </xf>
    <xf numFmtId="164" fontId="37" fillId="15" borderId="4" xfId="8" applyNumberFormat="1" applyFont="1" applyFill="1" applyBorder="1" applyAlignment="1">
      <alignment horizontal="center" vertical="center" wrapText="1"/>
    </xf>
    <xf numFmtId="164" fontId="37" fillId="15" borderId="1" xfId="8" applyNumberFormat="1" applyFont="1" applyFill="1" applyBorder="1" applyAlignment="1">
      <alignment horizontal="right" vertical="center"/>
    </xf>
    <xf numFmtId="0" fontId="43" fillId="0" borderId="1" xfId="8" applyBorder="1"/>
    <xf numFmtId="0" fontId="38" fillId="0" borderId="16" xfId="8" applyFont="1" applyFill="1" applyBorder="1" applyAlignment="1">
      <alignment horizontal="left" vertical="center" wrapText="1"/>
    </xf>
    <xf numFmtId="0" fontId="38" fillId="16" borderId="16" xfId="8" applyFont="1" applyFill="1" applyBorder="1" applyAlignment="1">
      <alignment horizontal="left" vertical="center" wrapText="1"/>
    </xf>
    <xf numFmtId="0" fontId="56" fillId="16" borderId="16" xfId="8" applyFont="1" applyFill="1" applyBorder="1" applyAlignment="1">
      <alignment horizontal="left" vertical="center" wrapText="1"/>
    </xf>
    <xf numFmtId="0" fontId="57" fillId="0" borderId="16" xfId="8" applyFont="1" applyFill="1" applyBorder="1" applyAlignment="1">
      <alignment horizontal="left" vertical="center" wrapText="1"/>
    </xf>
    <xf numFmtId="168" fontId="53" fillId="0" borderId="1" xfId="9" applyFont="1" applyBorder="1" applyAlignment="1">
      <alignment horizontal="center" vertical="center"/>
    </xf>
    <xf numFmtId="0" fontId="43" fillId="0" borderId="0" xfId="8" applyAlignment="1">
      <alignment vertical="center"/>
    </xf>
    <xf numFmtId="0" fontId="58" fillId="0" borderId="0" xfId="8" applyFont="1" applyAlignment="1">
      <alignment vertical="center"/>
    </xf>
    <xf numFmtId="0" fontId="10" fillId="0" borderId="0" xfId="8" applyFont="1"/>
    <xf numFmtId="0" fontId="61" fillId="0" borderId="0" xfId="0" applyNumberFormat="1" applyFont="1" applyAlignment="1">
      <alignment horizontal="left" vertical="center"/>
    </xf>
    <xf numFmtId="0" fontId="61" fillId="0" borderId="0" xfId="0" applyFont="1"/>
    <xf numFmtId="0" fontId="61" fillId="0" borderId="0" xfId="0" applyFont="1" applyAlignment="1">
      <alignment horizontal="center"/>
    </xf>
    <xf numFmtId="0" fontId="62" fillId="0" borderId="0" xfId="0" applyFont="1"/>
    <xf numFmtId="0" fontId="63" fillId="0" borderId="0" xfId="0" applyFont="1"/>
    <xf numFmtId="0" fontId="27" fillId="0" borderId="0" xfId="0" applyFont="1" applyAlignment="1">
      <alignment horizontal="right" vertical="center"/>
    </xf>
    <xf numFmtId="0" fontId="27" fillId="0" borderId="0" xfId="0" applyFont="1" applyAlignment="1">
      <alignment vertical="center"/>
    </xf>
    <xf numFmtId="0" fontId="64" fillId="2" borderId="0" xfId="0" applyFont="1" applyFill="1" applyAlignment="1"/>
    <xf numFmtId="0" fontId="27" fillId="0" borderId="0" xfId="0" applyNumberFormat="1" applyFont="1" applyAlignment="1"/>
    <xf numFmtId="0" fontId="27" fillId="2" borderId="0" xfId="0" applyFont="1" applyFill="1" applyAlignment="1">
      <alignment horizontal="left" vertical="center"/>
    </xf>
    <xf numFmtId="0" fontId="63" fillId="2" borderId="0" xfId="0" applyFont="1" applyFill="1"/>
    <xf numFmtId="0" fontId="65" fillId="2" borderId="0" xfId="0" applyFont="1" applyFill="1"/>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left" vertical="center" wrapText="1"/>
    </xf>
    <xf numFmtId="49" fontId="36" fillId="2" borderId="1" xfId="5" applyNumberFormat="1" applyFont="1" applyFill="1" applyBorder="1" applyAlignment="1" applyProtection="1">
      <alignment horizontal="left" vertical="center" wrapText="1"/>
      <protection hidden="1"/>
    </xf>
    <xf numFmtId="0" fontId="36" fillId="2" borderId="1" xfId="5" applyFont="1" applyFill="1" applyBorder="1" applyAlignment="1" applyProtection="1">
      <alignment horizontal="left" vertical="center" wrapText="1"/>
      <protection hidden="1"/>
    </xf>
    <xf numFmtId="2" fontId="36" fillId="2" borderId="1" xfId="0" applyNumberFormat="1" applyFont="1" applyFill="1" applyBorder="1" applyAlignment="1">
      <alignment horizontal="center" vertical="center" wrapText="1"/>
    </xf>
    <xf numFmtId="166" fontId="36" fillId="2" borderId="1" xfId="0" applyNumberFormat="1" applyFont="1" applyFill="1" applyBorder="1" applyAlignment="1">
      <alignment horizontal="center" vertical="center" wrapText="1"/>
    </xf>
    <xf numFmtId="2" fontId="63" fillId="2" borderId="0" xfId="10" applyNumberFormat="1" applyFont="1" applyFill="1"/>
    <xf numFmtId="0" fontId="36" fillId="2" borderId="1" xfId="0" applyFont="1" applyFill="1" applyBorder="1" applyAlignment="1">
      <alignment horizontal="left" vertical="center" wrapText="1"/>
    </xf>
    <xf numFmtId="0" fontId="36" fillId="2" borderId="1" xfId="0" applyFont="1" applyFill="1" applyBorder="1" applyAlignment="1">
      <alignment wrapText="1"/>
    </xf>
    <xf numFmtId="0" fontId="36" fillId="2" borderId="1" xfId="0" applyFont="1" applyFill="1" applyBorder="1" applyAlignment="1">
      <alignment vertical="center" wrapText="1"/>
    </xf>
    <xf numFmtId="49" fontId="20" fillId="2" borderId="1" xfId="0" applyNumberFormat="1" applyFont="1" applyFill="1" applyBorder="1" applyAlignment="1">
      <alignment horizontal="left" vertical="center" wrapText="1"/>
    </xf>
    <xf numFmtId="0" fontId="63" fillId="2" borderId="0" xfId="0" applyFont="1" applyFill="1" applyAlignment="1">
      <alignment horizontal="left" vertical="center"/>
    </xf>
    <xf numFmtId="0" fontId="27" fillId="0" borderId="0" xfId="0" applyFont="1" applyAlignment="1">
      <alignment horizontal="left" vertical="center"/>
    </xf>
    <xf numFmtId="0" fontId="65" fillId="0" borderId="0" xfId="0" applyFont="1"/>
    <xf numFmtId="0" fontId="17" fillId="0" borderId="0" xfId="0" applyFont="1" applyAlignment="1">
      <alignment horizontal="right" vertical="center"/>
    </xf>
    <xf numFmtId="0" fontId="1" fillId="0" borderId="0" xfId="0" applyFont="1" applyAlignment="1">
      <alignment horizontal="right" vertical="center"/>
    </xf>
    <xf numFmtId="0" fontId="8" fillId="0" borderId="1" xfId="0" applyFont="1" applyBorder="1" applyAlignment="1">
      <alignment horizontal="center" vertical="center" wrapText="1"/>
    </xf>
    <xf numFmtId="0" fontId="0" fillId="2" borderId="0" xfId="0" applyNumberFormat="1" applyFill="1" applyAlignment="1">
      <alignment horizontal="center"/>
    </xf>
    <xf numFmtId="0" fontId="5"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5" fillId="17" borderId="8" xfId="8" applyFont="1" applyFill="1" applyBorder="1" applyAlignment="1">
      <alignment horizontal="center" vertical="center" wrapText="1"/>
    </xf>
    <xf numFmtId="0" fontId="66" fillId="13" borderId="1" xfId="8" applyNumberFormat="1" applyFont="1" applyFill="1" applyBorder="1" applyAlignment="1">
      <alignment horizontal="left" vertical="center" wrapText="1"/>
    </xf>
    <xf numFmtId="164" fontId="37" fillId="17" borderId="1" xfId="8" applyNumberFormat="1" applyFont="1" applyFill="1" applyBorder="1" applyAlignment="1">
      <alignment horizontal="center" vertical="center" wrapText="1"/>
    </xf>
    <xf numFmtId="0" fontId="52" fillId="17" borderId="1" xfId="8" applyFont="1" applyFill="1" applyBorder="1" applyAlignment="1">
      <alignment horizontal="left" vertical="center" wrapText="1"/>
    </xf>
    <xf numFmtId="0" fontId="66" fillId="12" borderId="6" xfId="8" applyFont="1" applyFill="1" applyBorder="1" applyAlignment="1">
      <alignment horizontal="left" vertical="center" wrapText="1"/>
    </xf>
    <xf numFmtId="49" fontId="50" fillId="18" borderId="4" xfId="8" applyNumberFormat="1" applyFont="1" applyFill="1" applyBorder="1" applyAlignment="1">
      <alignment horizontal="right" vertical="center" wrapText="1"/>
    </xf>
    <xf numFmtId="0" fontId="50" fillId="18" borderId="4" xfId="8" applyFont="1" applyFill="1" applyBorder="1" applyAlignment="1">
      <alignment horizontal="left" vertical="center" wrapText="1"/>
    </xf>
    <xf numFmtId="164" fontId="37" fillId="18" borderId="4" xfId="8" applyNumberFormat="1" applyFont="1" applyFill="1" applyBorder="1" applyAlignment="1">
      <alignment horizontal="center" vertical="center" wrapText="1"/>
    </xf>
    <xf numFmtId="168" fontId="48" fillId="18" borderId="1" xfId="9" applyFont="1" applyFill="1" applyBorder="1" applyAlignment="1">
      <alignment vertical="center"/>
    </xf>
    <xf numFmtId="49" fontId="50" fillId="18" borderId="1" xfId="8" applyNumberFormat="1" applyFont="1" applyFill="1" applyBorder="1" applyAlignment="1">
      <alignment horizontal="right" vertical="center"/>
    </xf>
    <xf numFmtId="0" fontId="50" fillId="18" borderId="1" xfId="8" applyFont="1" applyFill="1" applyBorder="1" applyAlignment="1">
      <alignment horizontal="left" vertical="center" wrapText="1"/>
    </xf>
    <xf numFmtId="164" fontId="37" fillId="18" borderId="1" xfId="8" applyNumberFormat="1" applyFont="1" applyFill="1" applyBorder="1" applyAlignment="1">
      <alignment horizontal="center" vertical="center" wrapText="1"/>
    </xf>
    <xf numFmtId="0" fontId="66" fillId="13" borderId="4" xfId="8" applyNumberFormat="1" applyFont="1" applyFill="1" applyBorder="1" applyAlignment="1">
      <alignment horizontal="left" vertical="center" wrapText="1"/>
    </xf>
    <xf numFmtId="0" fontId="10" fillId="13" borderId="1" xfId="8" applyFont="1" applyFill="1" applyBorder="1" applyAlignment="1">
      <alignment vertical="center"/>
    </xf>
    <xf numFmtId="0" fontId="66" fillId="12" borderId="1" xfId="8" applyFont="1" applyFill="1" applyBorder="1" applyAlignment="1">
      <alignment horizontal="left" vertical="center" wrapText="1"/>
    </xf>
    <xf numFmtId="49" fontId="50" fillId="18" borderId="6" xfId="8" applyNumberFormat="1" applyFont="1" applyFill="1" applyBorder="1" applyAlignment="1">
      <alignment horizontal="right" vertical="center"/>
    </xf>
    <xf numFmtId="0" fontId="50" fillId="18" borderId="11" xfId="8" applyFont="1" applyFill="1" applyBorder="1" applyAlignment="1">
      <alignment horizontal="left" vertical="center" wrapText="1"/>
    </xf>
    <xf numFmtId="49" fontId="50" fillId="18" borderId="4" xfId="8" applyNumberFormat="1" applyFont="1" applyFill="1" applyBorder="1" applyAlignment="1">
      <alignment horizontal="right" vertical="center"/>
    </xf>
    <xf numFmtId="168" fontId="48" fillId="18" borderId="6" xfId="9" applyFont="1" applyFill="1" applyBorder="1" applyAlignment="1">
      <alignment vertical="center"/>
    </xf>
    <xf numFmtId="0" fontId="67" fillId="2" borderId="11" xfId="8" applyFont="1" applyFill="1" applyBorder="1" applyAlignment="1">
      <alignment horizontal="left" vertical="center" wrapText="1"/>
    </xf>
    <xf numFmtId="0" fontId="10" fillId="2" borderId="6" xfId="8" applyFont="1" applyFill="1" applyBorder="1" applyAlignment="1">
      <alignment vertical="center"/>
    </xf>
    <xf numFmtId="0" fontId="52" fillId="2" borderId="14" xfId="8" applyFont="1" applyFill="1" applyBorder="1" applyAlignment="1">
      <alignment horizontal="left" vertical="center" wrapText="1"/>
    </xf>
    <xf numFmtId="0" fontId="10" fillId="2" borderId="1" xfId="8" applyFont="1" applyFill="1" applyBorder="1" applyAlignment="1">
      <alignment vertical="center"/>
    </xf>
    <xf numFmtId="0" fontId="50" fillId="18" borderId="6" xfId="8" applyFont="1" applyFill="1" applyBorder="1" applyAlignment="1">
      <alignment horizontal="left" vertical="center" wrapText="1"/>
    </xf>
    <xf numFmtId="0" fontId="45" fillId="12" borderId="11" xfId="8" applyFont="1" applyFill="1" applyBorder="1" applyAlignment="1">
      <alignment horizontal="left" vertical="center" wrapText="1"/>
    </xf>
    <xf numFmtId="0" fontId="37" fillId="18" borderId="6" xfId="8" applyFont="1" applyFill="1" applyBorder="1" applyAlignment="1">
      <alignment horizontal="right" vertical="center"/>
    </xf>
    <xf numFmtId="0" fontId="29" fillId="2" borderId="1" xfId="8" applyFont="1" applyFill="1" applyBorder="1" applyAlignment="1">
      <alignment horizontal="right" vertical="center"/>
    </xf>
    <xf numFmtId="0" fontId="50" fillId="18" borderId="1" xfId="8" applyFont="1" applyFill="1" applyBorder="1" applyAlignment="1">
      <alignment vertical="center" wrapText="1"/>
    </xf>
    <xf numFmtId="164" fontId="37" fillId="18" borderId="1" xfId="8" applyNumberFormat="1" applyFont="1" applyFill="1" applyBorder="1" applyAlignment="1">
      <alignment horizontal="right" vertical="center"/>
    </xf>
    <xf numFmtId="0" fontId="37" fillId="18" borderId="1" xfId="8" applyFont="1" applyFill="1" applyBorder="1" applyAlignment="1">
      <alignment vertical="center"/>
    </xf>
    <xf numFmtId="0" fontId="43" fillId="18" borderId="1" xfId="8" applyFill="1" applyBorder="1"/>
    <xf numFmtId="0" fontId="69" fillId="19" borderId="16" xfId="8" applyFont="1" applyFill="1" applyBorder="1" applyAlignment="1">
      <alignment horizontal="left" vertical="center" wrapText="1"/>
    </xf>
    <xf numFmtId="0" fontId="45" fillId="5" borderId="0" xfId="8" applyFont="1" applyFill="1" applyAlignment="1">
      <alignment horizontal="center"/>
    </xf>
    <xf numFmtId="0" fontId="43" fillId="5" borderId="0" xfId="8" applyFill="1"/>
    <xf numFmtId="0" fontId="29" fillId="5" borderId="9" xfId="8" applyFont="1" applyFill="1" applyBorder="1" applyAlignment="1">
      <alignment horizontal="center" vertical="center" wrapText="1"/>
    </xf>
    <xf numFmtId="0" fontId="37" fillId="5" borderId="1" xfId="8" applyFont="1" applyFill="1" applyBorder="1" applyAlignment="1">
      <alignment horizontal="center" vertical="center" wrapText="1"/>
    </xf>
    <xf numFmtId="0" fontId="47" fillId="5" borderId="4" xfId="8" applyFont="1" applyFill="1" applyBorder="1" applyAlignment="1">
      <alignment horizontal="center" vertical="center" wrapText="1"/>
    </xf>
    <xf numFmtId="164" fontId="48" fillId="5" borderId="1" xfId="8" applyNumberFormat="1" applyFont="1" applyFill="1" applyBorder="1" applyAlignment="1">
      <alignment horizontal="center" vertical="center" wrapText="1"/>
    </xf>
    <xf numFmtId="168" fontId="37" fillId="5" borderId="4" xfId="9" applyFont="1" applyFill="1" applyBorder="1" applyAlignment="1">
      <alignment vertical="center"/>
    </xf>
    <xf numFmtId="164" fontId="37" fillId="5" borderId="1" xfId="8" applyNumberFormat="1" applyFont="1" applyFill="1" applyBorder="1" applyAlignment="1">
      <alignment horizontal="center" vertical="center" wrapText="1"/>
    </xf>
    <xf numFmtId="164" fontId="37" fillId="5" borderId="5" xfId="8" applyNumberFormat="1" applyFont="1" applyFill="1" applyBorder="1" applyAlignment="1">
      <alignment horizontal="center" vertical="center" wrapText="1"/>
    </xf>
    <xf numFmtId="164" fontId="37" fillId="5" borderId="4" xfId="8" applyNumberFormat="1" applyFont="1" applyFill="1" applyBorder="1" applyAlignment="1">
      <alignment horizontal="center" vertical="center" wrapText="1"/>
    </xf>
    <xf numFmtId="168" fontId="37" fillId="5" borderId="1" xfId="9" applyFont="1" applyFill="1" applyBorder="1" applyAlignment="1">
      <alignment vertical="center"/>
    </xf>
    <xf numFmtId="168" fontId="53" fillId="5" borderId="1" xfId="9" applyFont="1" applyFill="1" applyBorder="1" applyAlignment="1">
      <alignment vertical="center"/>
    </xf>
    <xf numFmtId="164" fontId="53" fillId="5" borderId="4" xfId="8" applyNumberFormat="1" applyFont="1" applyFill="1" applyBorder="1" applyAlignment="1">
      <alignment horizontal="center" vertical="center" wrapText="1"/>
    </xf>
    <xf numFmtId="168" fontId="53" fillId="5" borderId="1" xfId="9" applyFont="1" applyFill="1" applyBorder="1" applyAlignment="1">
      <alignment horizontal="center" vertical="center"/>
    </xf>
    <xf numFmtId="0" fontId="58" fillId="5" borderId="0" xfId="8" applyFont="1" applyFill="1" applyAlignment="1">
      <alignment vertical="center"/>
    </xf>
    <xf numFmtId="0" fontId="43" fillId="5" borderId="0" xfId="8" applyFill="1" applyAlignment="1">
      <alignment vertical="center"/>
    </xf>
    <xf numFmtId="0" fontId="0" fillId="20" borderId="0" xfId="0" applyFill="1"/>
    <xf numFmtId="0" fontId="21" fillId="20" borderId="0" xfId="0" applyFont="1" applyFill="1"/>
    <xf numFmtId="49" fontId="10" fillId="20" borderId="6" xfId="8" applyNumberFormat="1" applyFont="1" applyFill="1" applyBorder="1" applyAlignment="1">
      <alignment horizontal="right" vertical="center"/>
    </xf>
    <xf numFmtId="0" fontId="37" fillId="20" borderId="6" xfId="8" applyFont="1" applyFill="1" applyBorder="1" applyAlignment="1">
      <alignment horizontal="left" vertical="center" wrapText="1"/>
    </xf>
    <xf numFmtId="164" fontId="37" fillId="20" borderId="4" xfId="8" applyNumberFormat="1" applyFont="1" applyFill="1" applyBorder="1" applyAlignment="1">
      <alignment horizontal="center" vertical="center" wrapText="1"/>
    </xf>
    <xf numFmtId="164" fontId="37" fillId="20" borderId="1" xfId="8" applyNumberFormat="1" applyFont="1" applyFill="1" applyBorder="1" applyAlignment="1">
      <alignment horizontal="right" vertical="center"/>
    </xf>
    <xf numFmtId="0" fontId="10" fillId="20" borderId="1" xfId="8" applyFont="1" applyFill="1" applyBorder="1" applyAlignment="1">
      <alignment vertical="center"/>
    </xf>
    <xf numFmtId="0" fontId="43" fillId="20" borderId="0" xfId="8" applyFill="1"/>
    <xf numFmtId="0" fontId="67" fillId="20" borderId="6" xfId="8" applyFont="1" applyFill="1" applyBorder="1" applyAlignment="1">
      <alignment vertical="center" wrapText="1"/>
    </xf>
    <xf numFmtId="168" fontId="48" fillId="20" borderId="1" xfId="9" applyFont="1" applyFill="1" applyBorder="1" applyAlignment="1">
      <alignment vertical="center"/>
    </xf>
    <xf numFmtId="0" fontId="10" fillId="20" borderId="1" xfId="8" applyFont="1" applyFill="1" applyBorder="1" applyAlignment="1">
      <alignment horizontal="left" vertical="center"/>
    </xf>
    <xf numFmtId="0" fontId="68" fillId="20" borderId="4" xfId="8" applyFont="1" applyFill="1" applyBorder="1" applyAlignment="1">
      <alignment vertical="center" wrapText="1"/>
    </xf>
    <xf numFmtId="168" fontId="37" fillId="20" borderId="4" xfId="9" applyFont="1" applyFill="1" applyBorder="1" applyAlignment="1">
      <alignment vertical="center"/>
    </xf>
    <xf numFmtId="0" fontId="10" fillId="20" borderId="1" xfId="8" applyFont="1" applyFill="1" applyBorder="1" applyAlignment="1">
      <alignment horizontal="left" vertical="center" wrapText="1"/>
    </xf>
    <xf numFmtId="0" fontId="52" fillId="20" borderId="1" xfId="8" applyFont="1" applyFill="1" applyBorder="1" applyAlignment="1">
      <alignment horizontal="left" vertical="center" wrapText="1"/>
    </xf>
    <xf numFmtId="168" fontId="53" fillId="20" borderId="4" xfId="9" applyFont="1" applyFill="1" applyBorder="1" applyAlignment="1">
      <alignment vertical="center"/>
    </xf>
    <xf numFmtId="164" fontId="53" fillId="20" borderId="1" xfId="8" applyNumberFormat="1" applyFont="1" applyFill="1" applyBorder="1" applyAlignment="1">
      <alignment horizontal="right" vertical="center"/>
    </xf>
    <xf numFmtId="0" fontId="52" fillId="20" borderId="11" xfId="8" applyFont="1" applyFill="1" applyBorder="1" applyAlignment="1">
      <alignment horizontal="left" vertical="center" wrapText="1"/>
    </xf>
    <xf numFmtId="0" fontId="68" fillId="20" borderId="1" xfId="8" applyFont="1" applyFill="1" applyBorder="1" applyAlignment="1">
      <alignment vertical="center" wrapText="1"/>
    </xf>
    <xf numFmtId="168" fontId="53" fillId="20" borderId="1" xfId="9" applyFont="1" applyFill="1" applyBorder="1" applyAlignment="1">
      <alignment vertical="center"/>
    </xf>
    <xf numFmtId="0" fontId="67" fillId="20" borderId="1" xfId="8" applyFont="1" applyFill="1" applyBorder="1" applyAlignment="1">
      <alignment vertical="center" wrapText="1"/>
    </xf>
    <xf numFmtId="168" fontId="37" fillId="20" borderId="1" xfId="9" applyFont="1" applyFill="1" applyBorder="1" applyAlignment="1">
      <alignment vertical="center"/>
    </xf>
    <xf numFmtId="0" fontId="67" fillId="20" borderId="1" xfId="8" applyFont="1" applyFill="1" applyBorder="1" applyAlignment="1">
      <alignment horizontal="left" vertical="center" wrapText="1"/>
    </xf>
    <xf numFmtId="164" fontId="53" fillId="20" borderId="4" xfId="8" applyNumberFormat="1" applyFont="1" applyFill="1" applyBorder="1" applyAlignment="1">
      <alignment horizontal="center" vertical="center" wrapText="1"/>
    </xf>
    <xf numFmtId="0" fontId="37" fillId="20" borderId="1" xfId="8" applyFont="1" applyFill="1" applyBorder="1" applyAlignment="1">
      <alignment horizontal="right" vertical="center"/>
    </xf>
    <xf numFmtId="0" fontId="37" fillId="20" borderId="1" xfId="8" applyFont="1" applyFill="1" applyBorder="1" applyAlignment="1">
      <alignment vertical="center" wrapText="1"/>
    </xf>
    <xf numFmtId="0" fontId="10" fillId="20" borderId="1" xfId="8" applyFont="1" applyFill="1" applyBorder="1"/>
    <xf numFmtId="0" fontId="50" fillId="20" borderId="1" xfId="8" applyFont="1" applyFill="1" applyBorder="1" applyAlignment="1">
      <alignment horizontal="right" vertical="center"/>
    </xf>
    <xf numFmtId="0" fontId="50" fillId="20" borderId="1" xfId="8" applyFont="1" applyFill="1" applyBorder="1" applyAlignment="1">
      <alignment vertical="center" wrapText="1"/>
    </xf>
    <xf numFmtId="168" fontId="50" fillId="20" borderId="4" xfId="9" applyFont="1" applyFill="1" applyBorder="1" applyAlignment="1">
      <alignment vertical="center"/>
    </xf>
    <xf numFmtId="49" fontId="37" fillId="20" borderId="4" xfId="8" applyNumberFormat="1" applyFont="1" applyFill="1" applyBorder="1" applyAlignment="1">
      <alignment horizontal="right" vertical="center" wrapText="1"/>
    </xf>
    <xf numFmtId="168" fontId="37" fillId="20" borderId="1" xfId="9" applyFont="1" applyFill="1" applyBorder="1" applyAlignment="1">
      <alignment vertical="center" wrapText="1"/>
    </xf>
    <xf numFmtId="168" fontId="53" fillId="20" borderId="4" xfId="9" applyFont="1" applyFill="1" applyBorder="1" applyAlignment="1">
      <alignment vertical="center" wrapText="1"/>
    </xf>
    <xf numFmtId="49" fontId="37" fillId="20" borderId="1" xfId="8" applyNumberFormat="1" applyFont="1" applyFill="1" applyBorder="1" applyAlignment="1">
      <alignment horizontal="right" vertical="center"/>
    </xf>
    <xf numFmtId="0" fontId="29" fillId="20" borderId="4" xfId="8" applyNumberFormat="1" applyFont="1" applyFill="1" applyBorder="1" applyAlignment="1">
      <alignment horizontal="left" vertical="top" wrapText="1"/>
    </xf>
    <xf numFmtId="0" fontId="55" fillId="20" borderId="4" xfId="8" applyNumberFormat="1" applyFont="1" applyFill="1" applyBorder="1" applyAlignment="1">
      <alignment horizontal="left" vertical="top" wrapText="1"/>
    </xf>
    <xf numFmtId="168" fontId="37" fillId="20" borderId="4" xfId="9" applyFont="1" applyFill="1" applyBorder="1" applyAlignment="1">
      <alignment horizontal="center" vertical="center" wrapText="1"/>
    </xf>
    <xf numFmtId="168" fontId="53" fillId="20" borderId="4" xfId="9" applyFont="1" applyFill="1" applyBorder="1" applyAlignment="1">
      <alignment horizontal="center" vertical="center" wrapText="1"/>
    </xf>
    <xf numFmtId="168" fontId="53" fillId="20" borderId="4" xfId="9" applyNumberFormat="1" applyFont="1" applyFill="1" applyBorder="1" applyAlignment="1">
      <alignment horizontal="center" vertical="center" wrapText="1"/>
    </xf>
    <xf numFmtId="0" fontId="52" fillId="20" borderId="11" xfId="8" applyFont="1" applyFill="1" applyBorder="1" applyAlignment="1">
      <alignment horizontal="left" wrapText="1"/>
    </xf>
    <xf numFmtId="0" fontId="68" fillId="20" borderId="1" xfId="8" applyFont="1" applyFill="1" applyBorder="1" applyAlignment="1">
      <alignment horizontal="left" vertical="center" wrapText="1"/>
    </xf>
    <xf numFmtId="168" fontId="37" fillId="20" borderId="4" xfId="9" applyFont="1" applyFill="1" applyBorder="1" applyAlignment="1">
      <alignment vertical="center" wrapText="1"/>
    </xf>
    <xf numFmtId="168" fontId="50" fillId="20" borderId="4" xfId="9" applyFont="1" applyFill="1" applyBorder="1" applyAlignment="1">
      <alignment vertical="center" wrapText="1"/>
    </xf>
    <xf numFmtId="168" fontId="54" fillId="20" borderId="1" xfId="9" applyFont="1" applyFill="1" applyBorder="1" applyAlignment="1">
      <alignment vertical="center"/>
    </xf>
    <xf numFmtId="0" fontId="67" fillId="20" borderId="11" xfId="8" applyFont="1" applyFill="1" applyBorder="1" applyAlignment="1">
      <alignment horizontal="left" vertical="center" wrapText="1"/>
    </xf>
    <xf numFmtId="168" fontId="48" fillId="20" borderId="4" xfId="9" applyFont="1" applyFill="1" applyBorder="1" applyAlignment="1">
      <alignment vertical="center"/>
    </xf>
    <xf numFmtId="0" fontId="52" fillId="20" borderId="14" xfId="8" applyFont="1" applyFill="1" applyBorder="1" applyAlignment="1">
      <alignment horizontal="left" vertical="center" wrapText="1"/>
    </xf>
    <xf numFmtId="164" fontId="53" fillId="20" borderId="4" xfId="8" applyNumberFormat="1" applyFont="1" applyFill="1" applyBorder="1" applyAlignment="1">
      <alignment horizontal="right" vertical="center"/>
    </xf>
    <xf numFmtId="0" fontId="10" fillId="20" borderId="6" xfId="8" applyFont="1" applyFill="1" applyBorder="1" applyAlignment="1">
      <alignment vertical="center"/>
    </xf>
    <xf numFmtId="164" fontId="36" fillId="20" borderId="4" xfId="8" applyNumberFormat="1" applyFont="1" applyFill="1" applyBorder="1" applyAlignment="1">
      <alignment horizontal="center" vertical="center" wrapText="1"/>
    </xf>
    <xf numFmtId="168" fontId="53" fillId="20" borderId="1" xfId="9" applyFont="1" applyFill="1" applyBorder="1" applyAlignment="1">
      <alignment vertical="center" wrapText="1"/>
    </xf>
    <xf numFmtId="49" fontId="37" fillId="20" borderId="4" xfId="8" applyNumberFormat="1" applyFont="1" applyFill="1" applyBorder="1" applyAlignment="1">
      <alignment horizontal="right" vertical="center"/>
    </xf>
    <xf numFmtId="0" fontId="67" fillId="20" borderId="14" xfId="8" applyFont="1" applyFill="1" applyBorder="1" applyAlignment="1">
      <alignment horizontal="left" vertical="center" wrapText="1"/>
    </xf>
    <xf numFmtId="164" fontId="37" fillId="20" borderId="5" xfId="8" applyNumberFormat="1" applyFont="1" applyFill="1" applyBorder="1" applyAlignment="1">
      <alignment horizontal="center" vertical="center" wrapText="1"/>
    </xf>
    <xf numFmtId="168" fontId="48" fillId="20" borderId="6" xfId="9" applyFont="1" applyFill="1" applyBorder="1" applyAlignment="1">
      <alignment vertical="center"/>
    </xf>
    <xf numFmtId="164" fontId="37" fillId="20" borderId="6" xfId="8" applyNumberFormat="1" applyFont="1" applyFill="1" applyBorder="1" applyAlignment="1">
      <alignment horizontal="right" vertical="center"/>
    </xf>
    <xf numFmtId="0" fontId="10" fillId="20" borderId="6" xfId="8" applyFont="1" applyFill="1" applyBorder="1"/>
    <xf numFmtId="49" fontId="37" fillId="20" borderId="5" xfId="8" applyNumberFormat="1" applyFont="1" applyFill="1" applyBorder="1" applyAlignment="1">
      <alignment vertical="center"/>
    </xf>
    <xf numFmtId="0" fontId="10" fillId="20" borderId="11" xfId="8" applyFont="1" applyFill="1" applyBorder="1" applyAlignment="1">
      <alignment horizontal="left" vertical="center" wrapText="1"/>
    </xf>
    <xf numFmtId="0" fontId="10" fillId="20" borderId="5" xfId="8" applyFont="1" applyFill="1" applyBorder="1" applyAlignment="1">
      <alignment vertical="center"/>
    </xf>
    <xf numFmtId="0" fontId="10" fillId="20" borderId="4" xfId="8" applyFont="1" applyFill="1" applyBorder="1"/>
    <xf numFmtId="0" fontId="50" fillId="20" borderId="6" xfId="8" applyFont="1" applyFill="1" applyBorder="1" applyAlignment="1">
      <alignment horizontal="right" vertical="center"/>
    </xf>
    <xf numFmtId="0" fontId="50" fillId="20" borderId="6" xfId="8" applyFont="1" applyFill="1" applyBorder="1" applyAlignment="1">
      <alignment horizontal="left" vertical="center" wrapText="1"/>
    </xf>
    <xf numFmtId="0" fontId="37" fillId="20" borderId="4" xfId="8" applyFont="1" applyFill="1" applyBorder="1" applyAlignment="1">
      <alignment horizontal="right" vertical="center"/>
    </xf>
    <xf numFmtId="0" fontId="68" fillId="20" borderId="11" xfId="8" applyFont="1" applyFill="1" applyBorder="1" applyAlignment="1">
      <alignment vertical="center" wrapText="1"/>
    </xf>
    <xf numFmtId="0" fontId="37" fillId="20" borderId="5" xfId="8" applyFont="1" applyFill="1" applyBorder="1" applyAlignment="1">
      <alignment vertical="center"/>
    </xf>
    <xf numFmtId="168" fontId="36" fillId="20" borderId="1" xfId="9" applyFont="1" applyFill="1" applyBorder="1" applyAlignment="1">
      <alignment vertical="center" wrapText="1"/>
    </xf>
    <xf numFmtId="0" fontId="10" fillId="20" borderId="1" xfId="8" applyFont="1" applyFill="1" applyBorder="1" applyAlignment="1">
      <alignment vertical="center" wrapText="1"/>
    </xf>
    <xf numFmtId="0" fontId="10" fillId="20" borderId="14" xfId="8" applyFont="1" applyFill="1" applyBorder="1" applyAlignment="1">
      <alignment horizontal="left" vertical="center" wrapText="1"/>
    </xf>
    <xf numFmtId="0" fontId="68" fillId="20" borderId="11" xfId="8" applyFont="1" applyFill="1" applyBorder="1" applyAlignment="1">
      <alignment horizontal="left" vertical="center" wrapText="1"/>
    </xf>
    <xf numFmtId="164" fontId="50" fillId="20" borderId="1" xfId="8" applyNumberFormat="1" applyFont="1" applyFill="1" applyBorder="1" applyAlignment="1">
      <alignment horizontal="right" vertical="center"/>
    </xf>
    <xf numFmtId="0" fontId="10" fillId="20" borderId="6" xfId="8" applyFont="1" applyFill="1" applyBorder="1" applyAlignment="1">
      <alignment vertical="center" wrapText="1"/>
    </xf>
    <xf numFmtId="0" fontId="67" fillId="20" borderId="12" xfId="8" applyFont="1" applyFill="1" applyBorder="1" applyAlignment="1">
      <alignment horizontal="left" vertical="center" wrapText="1"/>
    </xf>
    <xf numFmtId="49" fontId="37" fillId="20" borderId="5" xfId="8" applyNumberFormat="1" applyFont="1" applyFill="1" applyBorder="1" applyAlignment="1">
      <alignment horizontal="right" vertical="top"/>
    </xf>
    <xf numFmtId="4" fontId="53" fillId="20" borderId="1" xfId="9" applyNumberFormat="1" applyFont="1" applyFill="1" applyBorder="1" applyAlignment="1">
      <alignment vertical="center" wrapText="1"/>
    </xf>
    <xf numFmtId="0" fontId="25" fillId="0" borderId="0" xfId="4"/>
    <xf numFmtId="0" fontId="18" fillId="20" borderId="0" xfId="0" applyFont="1" applyFill="1"/>
    <xf numFmtId="0" fontId="0" fillId="2" borderId="0" xfId="0" applyNumberFormat="1" applyFill="1" applyAlignment="1">
      <alignment horizontal="center"/>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75" fillId="0" borderId="0" xfId="12" applyProtection="1">
      <protection locked="0"/>
    </xf>
    <xf numFmtId="49" fontId="77" fillId="0" borderId="18" xfId="14" applyNumberFormat="1" applyProtection="1">
      <alignment horizontal="center" vertical="center" wrapText="1"/>
    </xf>
    <xf numFmtId="49" fontId="77" fillId="0" borderId="19" xfId="15" applyNumberFormat="1" applyProtection="1">
      <alignment horizontal="center" vertical="center" wrapText="1"/>
    </xf>
    <xf numFmtId="49" fontId="77" fillId="0" borderId="20" xfId="16" applyNumberFormat="1" applyProtection="1">
      <alignment horizontal="center" vertical="center" wrapText="1"/>
    </xf>
    <xf numFmtId="49" fontId="77" fillId="0" borderId="21" xfId="17" applyNumberFormat="1" applyProtection="1">
      <alignment horizontal="center" vertical="center" wrapText="1"/>
    </xf>
    <xf numFmtId="49" fontId="77" fillId="0" borderId="22" xfId="18" applyNumberFormat="1" applyProtection="1">
      <alignment horizontal="center" vertical="center" wrapText="1"/>
    </xf>
    <xf numFmtId="49" fontId="77" fillId="0" borderId="23" xfId="19" applyNumberFormat="1" applyProtection="1">
      <alignment horizontal="center" vertical="center" wrapText="1"/>
    </xf>
    <xf numFmtId="0" fontId="78" fillId="21" borderId="24" xfId="20" quotePrefix="1" applyNumberFormat="1" applyProtection="1">
      <alignment horizontal="left" vertical="top" wrapText="1"/>
    </xf>
    <xf numFmtId="49" fontId="78" fillId="21" borderId="25" xfId="21" applyNumberFormat="1" applyProtection="1">
      <alignment horizontal="center" vertical="top" wrapText="1" shrinkToFit="1"/>
    </xf>
    <xf numFmtId="0" fontId="78" fillId="21" borderId="25" xfId="22" applyNumberFormat="1" applyProtection="1">
      <alignment horizontal="left" vertical="top" wrapText="1"/>
    </xf>
    <xf numFmtId="4" fontId="78" fillId="21" borderId="25" xfId="23" applyNumberFormat="1" applyProtection="1">
      <alignment horizontal="right" vertical="top" wrapText="1" shrinkToFit="1"/>
    </xf>
    <xf numFmtId="0" fontId="78" fillId="21" borderId="26" xfId="24" applyNumberFormat="1" applyProtection="1">
      <alignment horizontal="right" vertical="top" shrinkToFit="1"/>
    </xf>
    <xf numFmtId="0" fontId="77" fillId="22" borderId="27" xfId="25" quotePrefix="1" applyNumberFormat="1" applyProtection="1">
      <alignment horizontal="left" vertical="top" wrapText="1"/>
    </xf>
    <xf numFmtId="49" fontId="77" fillId="22" borderId="28" xfId="26" applyNumberFormat="1" applyProtection="1">
      <alignment horizontal="center" vertical="top" shrinkToFit="1"/>
    </xf>
    <xf numFmtId="0" fontId="77" fillId="22" borderId="28" xfId="27" applyNumberFormat="1" applyProtection="1">
      <alignment horizontal="left" vertical="top" wrapText="1"/>
    </xf>
    <xf numFmtId="4" fontId="77" fillId="22" borderId="28" xfId="28" applyNumberFormat="1" applyProtection="1">
      <alignment horizontal="right" vertical="top" shrinkToFit="1"/>
    </xf>
    <xf numFmtId="0" fontId="77" fillId="22" borderId="29" xfId="29" applyNumberFormat="1" applyProtection="1">
      <alignment horizontal="right" vertical="top" shrinkToFit="1"/>
    </xf>
    <xf numFmtId="0" fontId="77" fillId="23" borderId="30" xfId="30" quotePrefix="1" applyNumberFormat="1" applyProtection="1">
      <alignment horizontal="left" vertical="top" wrapText="1"/>
    </xf>
    <xf numFmtId="49" fontId="77" fillId="23" borderId="31" xfId="31" applyNumberFormat="1" applyProtection="1">
      <alignment horizontal="center" vertical="top" shrinkToFit="1"/>
    </xf>
    <xf numFmtId="0" fontId="77" fillId="23" borderId="31" xfId="32" applyNumberFormat="1" applyProtection="1">
      <alignment horizontal="left" vertical="top" wrapText="1"/>
    </xf>
    <xf numFmtId="4" fontId="77" fillId="23" borderId="31" xfId="33" applyNumberFormat="1" applyProtection="1">
      <alignment horizontal="right" vertical="top" shrinkToFit="1"/>
    </xf>
    <xf numFmtId="0" fontId="77" fillId="23" borderId="32" xfId="34" applyNumberFormat="1" applyProtection="1">
      <alignment horizontal="right" vertical="top" shrinkToFit="1"/>
    </xf>
    <xf numFmtId="0" fontId="79" fillId="0" borderId="30" xfId="35" quotePrefix="1" applyNumberFormat="1" applyProtection="1">
      <alignment horizontal="left" vertical="top" wrapText="1"/>
    </xf>
    <xf numFmtId="49" fontId="76" fillId="0" borderId="31" xfId="36" applyNumberFormat="1" applyProtection="1">
      <alignment horizontal="center" vertical="top" shrinkToFit="1"/>
    </xf>
    <xf numFmtId="0" fontId="76" fillId="0" borderId="31" xfId="37" applyNumberFormat="1" applyProtection="1">
      <alignment horizontal="left" vertical="top" wrapText="1"/>
    </xf>
    <xf numFmtId="4" fontId="76" fillId="0" borderId="31" xfId="38" applyNumberFormat="1" applyProtection="1">
      <alignment horizontal="right" vertical="top" shrinkToFit="1"/>
    </xf>
    <xf numFmtId="0" fontId="76" fillId="0" borderId="32" xfId="39" applyNumberFormat="1" applyProtection="1">
      <alignment horizontal="right" vertical="top" shrinkToFit="1"/>
    </xf>
    <xf numFmtId="0" fontId="79" fillId="0" borderId="30" xfId="40" quotePrefix="1" applyNumberFormat="1" applyProtection="1">
      <alignment horizontal="left" vertical="top" wrapText="1"/>
    </xf>
    <xf numFmtId="49" fontId="76" fillId="0" borderId="31" xfId="41" applyNumberFormat="1" applyProtection="1">
      <alignment horizontal="center" vertical="top" shrinkToFit="1"/>
    </xf>
    <xf numFmtId="0" fontId="76" fillId="0" borderId="31" xfId="42" quotePrefix="1" applyNumberFormat="1" applyProtection="1">
      <alignment horizontal="left" vertical="top" wrapText="1"/>
    </xf>
    <xf numFmtId="4" fontId="76" fillId="0" borderId="31" xfId="43" applyNumberFormat="1" applyProtection="1">
      <alignment horizontal="right" vertical="top" shrinkToFit="1"/>
    </xf>
    <xf numFmtId="0" fontId="76" fillId="0" borderId="32" xfId="39" applyNumberFormat="1" applyFont="1" applyProtection="1">
      <alignment horizontal="right" vertical="top" shrinkToFit="1"/>
    </xf>
    <xf numFmtId="0" fontId="76" fillId="0" borderId="33" xfId="44" applyNumberFormat="1" applyProtection="1"/>
    <xf numFmtId="0" fontId="76" fillId="0" borderId="34" xfId="45" applyNumberFormat="1" applyProtection="1"/>
    <xf numFmtId="0" fontId="76" fillId="0" borderId="35" xfId="46" applyNumberFormat="1" applyProtection="1"/>
    <xf numFmtId="0" fontId="78" fillId="24" borderId="36" xfId="47" applyNumberFormat="1" applyProtection="1"/>
    <xf numFmtId="0" fontId="78" fillId="24" borderId="37" xfId="48" applyNumberFormat="1" applyProtection="1"/>
    <xf numFmtId="4" fontId="78" fillId="24" borderId="37" xfId="49" applyNumberFormat="1" applyProtection="1">
      <alignment horizontal="right" shrinkToFit="1"/>
    </xf>
    <xf numFmtId="0" fontId="78" fillId="24" borderId="38" xfId="50" applyNumberFormat="1" applyProtection="1"/>
    <xf numFmtId="0" fontId="76" fillId="0" borderId="39" xfId="51" applyNumberFormat="1" applyProtection="1"/>
    <xf numFmtId="0" fontId="80" fillId="0" borderId="0" xfId="53" applyFont="1" applyFill="1" applyAlignment="1">
      <alignment vertical="top" wrapText="1"/>
    </xf>
    <xf numFmtId="0" fontId="81" fillId="0" borderId="0" xfId="53" applyFont="1" applyFill="1" applyAlignment="1">
      <alignment horizontal="right" vertical="center"/>
    </xf>
    <xf numFmtId="165" fontId="81" fillId="0" borderId="0" xfId="53" applyNumberFormat="1" applyFont="1" applyFill="1" applyAlignment="1">
      <alignment vertical="top"/>
    </xf>
    <xf numFmtId="0" fontId="83" fillId="0" borderId="0" xfId="53" applyFont="1" applyFill="1" applyAlignment="1">
      <alignment horizontal="right" vertical="top" wrapText="1"/>
    </xf>
    <xf numFmtId="0" fontId="82" fillId="25" borderId="43" xfId="53" applyFont="1" applyFill="1" applyBorder="1" applyAlignment="1">
      <alignment vertical="top" wrapText="1"/>
    </xf>
    <xf numFmtId="165" fontId="82" fillId="25" borderId="1" xfId="53" applyNumberFormat="1" applyFont="1" applyFill="1" applyBorder="1" applyAlignment="1">
      <alignment horizontal="right" wrapText="1"/>
    </xf>
    <xf numFmtId="165" fontId="82" fillId="25" borderId="44" xfId="53" applyNumberFormat="1" applyFont="1" applyFill="1" applyBorder="1" applyAlignment="1">
      <alignment horizontal="right" wrapText="1"/>
    </xf>
    <xf numFmtId="0" fontId="82" fillId="0" borderId="43" xfId="53" applyFont="1" applyFill="1" applyBorder="1" applyAlignment="1">
      <alignment horizontal="left" vertical="center" wrapText="1"/>
    </xf>
    <xf numFmtId="165" fontId="82" fillId="0" borderId="1" xfId="53" applyNumberFormat="1" applyFont="1" applyFill="1" applyBorder="1" applyAlignment="1">
      <alignment horizontal="right" wrapText="1"/>
    </xf>
    <xf numFmtId="165" fontId="82" fillId="0" borderId="44" xfId="53" applyNumberFormat="1" applyFont="1" applyFill="1" applyBorder="1" applyAlignment="1">
      <alignment horizontal="right" wrapText="1"/>
    </xf>
    <xf numFmtId="0" fontId="82" fillId="0" borderId="43" xfId="53" applyFont="1" applyFill="1" applyBorder="1" applyAlignment="1">
      <alignment vertical="center" wrapText="1"/>
    </xf>
    <xf numFmtId="0" fontId="81" fillId="0" borderId="43" xfId="53" applyFont="1" applyFill="1" applyBorder="1" applyAlignment="1">
      <alignment vertical="top" wrapText="1"/>
    </xf>
    <xf numFmtId="165" fontId="81" fillId="0" borderId="1" xfId="53" applyNumberFormat="1" applyFont="1" applyFill="1" applyBorder="1" applyAlignment="1">
      <alignment horizontal="right" wrapText="1"/>
    </xf>
    <xf numFmtId="0" fontId="82" fillId="25" borderId="43" xfId="53" applyFont="1" applyFill="1" applyBorder="1" applyAlignment="1">
      <alignment horizontal="left" vertical="top" wrapText="1"/>
    </xf>
    <xf numFmtId="0" fontId="81" fillId="0" borderId="43" xfId="53" applyFont="1" applyFill="1" applyBorder="1" applyAlignment="1">
      <alignment vertical="center" wrapText="1"/>
    </xf>
    <xf numFmtId="165" fontId="81" fillId="0" borderId="44" xfId="53" applyNumberFormat="1" applyFont="1" applyFill="1" applyBorder="1" applyAlignment="1">
      <alignment horizontal="right" wrapText="1"/>
    </xf>
    <xf numFmtId="0" fontId="82" fillId="25" borderId="43" xfId="53" applyNumberFormat="1" applyFont="1" applyFill="1" applyBorder="1" applyAlignment="1">
      <alignment vertical="top" wrapText="1"/>
    </xf>
    <xf numFmtId="0" fontId="82" fillId="0" borderId="43" xfId="53" applyFont="1" applyFill="1" applyBorder="1" applyAlignment="1">
      <alignment horizontal="left" vertical="top" wrapText="1"/>
    </xf>
    <xf numFmtId="0" fontId="82" fillId="0" borderId="43" xfId="53" applyFont="1" applyFill="1" applyBorder="1" applyAlignment="1">
      <alignment wrapText="1"/>
    </xf>
    <xf numFmtId="0" fontId="82" fillId="25" borderId="43" xfId="53" applyFont="1" applyFill="1" applyBorder="1" applyAlignment="1">
      <alignment vertical="center" wrapText="1"/>
    </xf>
    <xf numFmtId="0" fontId="82" fillId="25" borderId="43" xfId="54" applyNumberFormat="1" applyFont="1" applyFill="1" applyBorder="1" applyAlignment="1">
      <alignment vertical="top" wrapText="1"/>
    </xf>
    <xf numFmtId="0" fontId="81" fillId="0" borderId="43" xfId="54" applyNumberFormat="1" applyFont="1" applyFill="1" applyBorder="1" applyAlignment="1">
      <alignment vertical="top" wrapText="1"/>
    </xf>
    <xf numFmtId="0" fontId="82" fillId="0" borderId="43" xfId="54" applyNumberFormat="1" applyFont="1" applyFill="1" applyBorder="1" applyAlignment="1">
      <alignment vertical="top" wrapText="1"/>
    </xf>
    <xf numFmtId="0" fontId="82" fillId="25" borderId="43" xfId="53" applyFont="1" applyFill="1" applyBorder="1" applyAlignment="1">
      <alignment horizontal="left" vertical="center" wrapText="1"/>
    </xf>
    <xf numFmtId="0" fontId="10" fillId="2" borderId="43" xfId="54" applyNumberFormat="1" applyFont="1" applyFill="1" applyBorder="1" applyAlignment="1">
      <alignment horizontal="left" vertical="top"/>
    </xf>
    <xf numFmtId="0" fontId="10" fillId="2" borderId="47" xfId="54" applyNumberFormat="1" applyFont="1" applyFill="1" applyBorder="1" applyAlignment="1">
      <alignment horizontal="left" vertical="top"/>
    </xf>
    <xf numFmtId="165" fontId="60" fillId="0" borderId="48" xfId="53" applyNumberFormat="1" applyFont="1" applyBorder="1" applyAlignment="1">
      <alignment horizontal="right"/>
    </xf>
    <xf numFmtId="0" fontId="32" fillId="0" borderId="0" xfId="53" applyFont="1" applyAlignment="1"/>
    <xf numFmtId="0" fontId="10" fillId="2" borderId="0" xfId="54" applyNumberFormat="1" applyFont="1" applyFill="1" applyBorder="1" applyAlignment="1">
      <alignment horizontal="left" vertical="top"/>
    </xf>
    <xf numFmtId="0" fontId="60" fillId="0" borderId="0" xfId="53" applyFont="1" applyAlignment="1"/>
    <xf numFmtId="0" fontId="60" fillId="0" borderId="0" xfId="53" applyFont="1" applyAlignment="1">
      <alignment horizontal="right"/>
    </xf>
    <xf numFmtId="0" fontId="84" fillId="0" borderId="0" xfId="53" applyFont="1" applyFill="1" applyAlignment="1">
      <alignment horizontal="left" wrapText="1"/>
    </xf>
    <xf numFmtId="0" fontId="84" fillId="0" borderId="0" xfId="53" applyFont="1" applyAlignment="1"/>
    <xf numFmtId="0" fontId="84" fillId="0" borderId="0" xfId="53" applyFont="1" applyFill="1" applyAlignment="1">
      <alignment horizontal="right"/>
    </xf>
    <xf numFmtId="0" fontId="60" fillId="0" borderId="0" xfId="53" applyFont="1" applyAlignment="1">
      <alignment horizontal="left" wrapText="1"/>
    </xf>
    <xf numFmtId="0" fontId="60" fillId="0" borderId="0" xfId="53" applyFont="1" applyFill="1" applyAlignment="1">
      <alignment horizontal="right"/>
    </xf>
    <xf numFmtId="165" fontId="81" fillId="0" borderId="0" xfId="53" applyNumberFormat="1" applyFont="1" applyFill="1" applyAlignment="1">
      <alignment horizontal="right" vertical="center" wrapText="1"/>
    </xf>
    <xf numFmtId="0" fontId="82" fillId="0" borderId="1" xfId="53" applyFont="1" applyFill="1" applyBorder="1" applyAlignment="1">
      <alignment horizontal="left" vertical="center" wrapText="1"/>
    </xf>
    <xf numFmtId="165" fontId="81" fillId="0" borderId="1" xfId="53" applyNumberFormat="1" applyFont="1" applyFill="1" applyBorder="1" applyAlignment="1">
      <alignment horizontal="right" vertical="center" wrapText="1"/>
    </xf>
    <xf numFmtId="0" fontId="82" fillId="0" borderId="50" xfId="53" applyFont="1" applyFill="1" applyBorder="1" applyAlignment="1">
      <alignment horizontal="left" vertical="center" wrapText="1"/>
    </xf>
    <xf numFmtId="165" fontId="81" fillId="0" borderId="1" xfId="53" applyNumberFormat="1" applyFont="1" applyFill="1" applyBorder="1" applyAlignment="1">
      <alignment vertical="top" wrapText="1"/>
    </xf>
    <xf numFmtId="0" fontId="82" fillId="0" borderId="1" xfId="53" applyFont="1" applyFill="1" applyBorder="1" applyAlignment="1">
      <alignment horizontal="left" vertical="top" wrapText="1"/>
    </xf>
    <xf numFmtId="0" fontId="82" fillId="0" borderId="1" xfId="53" applyFont="1" applyFill="1" applyBorder="1" applyAlignment="1">
      <alignment vertical="center" wrapText="1"/>
    </xf>
    <xf numFmtId="0" fontId="81" fillId="0" borderId="0" xfId="53" applyFont="1" applyFill="1" applyAlignment="1">
      <alignment vertical="top" wrapText="1"/>
    </xf>
    <xf numFmtId="165" fontId="82" fillId="0" borderId="0" xfId="53" applyNumberFormat="1" applyFont="1" applyFill="1" applyAlignment="1">
      <alignment vertical="top" wrapText="1"/>
    </xf>
    <xf numFmtId="165" fontId="81" fillId="0" borderId="0" xfId="53" applyNumberFormat="1" applyFont="1" applyFill="1" applyAlignment="1">
      <alignment vertical="top" wrapText="1"/>
    </xf>
    <xf numFmtId="0" fontId="81" fillId="0" borderId="0" xfId="53" applyFont="1" applyFill="1" applyAlignment="1">
      <alignment horizontal="left" vertical="top" wrapText="1"/>
    </xf>
    <xf numFmtId="0" fontId="85" fillId="25" borderId="40" xfId="53" applyFont="1" applyFill="1" applyBorder="1" applyAlignment="1">
      <alignment horizontal="left" vertical="top" wrapText="1"/>
    </xf>
    <xf numFmtId="165" fontId="85" fillId="25" borderId="41" xfId="53" applyNumberFormat="1" applyFont="1" applyFill="1" applyBorder="1" applyAlignment="1">
      <alignment horizontal="right" vertical="center" wrapText="1"/>
    </xf>
    <xf numFmtId="165" fontId="85" fillId="25" borderId="42" xfId="53" applyNumberFormat="1" applyFont="1" applyFill="1" applyBorder="1" applyAlignment="1">
      <alignment horizontal="right" vertical="center" wrapText="1"/>
    </xf>
    <xf numFmtId="0" fontId="82" fillId="0" borderId="0" xfId="53" applyFont="1" applyFill="1" applyAlignment="1">
      <alignment vertical="top" wrapText="1"/>
    </xf>
    <xf numFmtId="165" fontId="82" fillId="25" borderId="1" xfId="53" applyNumberFormat="1" applyFont="1" applyFill="1" applyBorder="1" applyAlignment="1">
      <alignment horizontal="right" vertical="center" wrapText="1"/>
    </xf>
    <xf numFmtId="165" fontId="82" fillId="25" borderId="44" xfId="53" applyNumberFormat="1" applyFont="1" applyFill="1" applyBorder="1" applyAlignment="1">
      <alignment horizontal="right" vertical="center" wrapText="1"/>
    </xf>
    <xf numFmtId="0" fontId="81" fillId="2" borderId="43" xfId="53" applyFont="1" applyFill="1" applyBorder="1" applyAlignment="1">
      <alignment horizontal="left" vertical="center" wrapText="1"/>
    </xf>
    <xf numFmtId="165" fontId="81" fillId="0" borderId="9" xfId="53" applyNumberFormat="1" applyFont="1" applyFill="1" applyBorder="1" applyAlignment="1">
      <alignment horizontal="right" vertical="center" wrapText="1"/>
    </xf>
    <xf numFmtId="165" fontId="81" fillId="0" borderId="44" xfId="53" applyNumberFormat="1" applyFont="1" applyFill="1" applyBorder="1" applyAlignment="1">
      <alignment horizontal="right" vertical="center" wrapText="1"/>
    </xf>
    <xf numFmtId="0" fontId="81" fillId="0" borderId="43" xfId="53" applyFont="1" applyFill="1" applyBorder="1" applyAlignment="1">
      <alignment horizontal="left" vertical="center" wrapText="1"/>
    </xf>
    <xf numFmtId="0" fontId="60" fillId="0" borderId="57" xfId="53" applyFont="1" applyFill="1" applyBorder="1" applyAlignment="1">
      <alignment vertical="center" wrapText="1"/>
    </xf>
    <xf numFmtId="0" fontId="85" fillId="25" borderId="43" xfId="53" applyFont="1" applyFill="1" applyBorder="1" applyAlignment="1">
      <alignment horizontal="left" vertical="top" wrapText="1"/>
    </xf>
    <xf numFmtId="165" fontId="85" fillId="25" borderId="1" xfId="53" applyNumberFormat="1" applyFont="1" applyFill="1" applyBorder="1" applyAlignment="1">
      <alignment horizontal="right" vertical="center" wrapText="1"/>
    </xf>
    <xf numFmtId="165" fontId="85" fillId="25" borderId="44" xfId="53" applyNumberFormat="1" applyFont="1" applyFill="1" applyBorder="1" applyAlignment="1">
      <alignment horizontal="right" vertical="center" wrapText="1"/>
    </xf>
    <xf numFmtId="165" fontId="81" fillId="0" borderId="9" xfId="53" applyNumberFormat="1" applyFont="1" applyFill="1" applyBorder="1" applyAlignment="1">
      <alignment horizontal="right" wrapText="1"/>
    </xf>
    <xf numFmtId="0" fontId="60" fillId="0" borderId="58" xfId="53" applyFont="1" applyFill="1" applyBorder="1" applyAlignment="1">
      <alignment vertical="center" wrapText="1"/>
    </xf>
    <xf numFmtId="0" fontId="60" fillId="0" borderId="43" xfId="53" applyFont="1" applyFill="1" applyBorder="1" applyAlignment="1">
      <alignment vertical="center" wrapText="1"/>
    </xf>
    <xf numFmtId="165" fontId="85" fillId="25" borderId="1" xfId="53" applyNumberFormat="1" applyFont="1" applyFill="1" applyBorder="1" applyAlignment="1">
      <alignment vertical="center" wrapText="1"/>
    </xf>
    <xf numFmtId="165" fontId="85" fillId="25" borderId="44" xfId="53" applyNumberFormat="1" applyFont="1" applyFill="1" applyBorder="1" applyAlignment="1">
      <alignment vertical="center" wrapText="1"/>
    </xf>
    <xf numFmtId="0" fontId="60" fillId="0" borderId="57" xfId="53" applyFont="1" applyFill="1" applyBorder="1" applyAlignment="1">
      <alignment vertical="top" wrapText="1"/>
    </xf>
    <xf numFmtId="165" fontId="60" fillId="0" borderId="1" xfId="53" applyNumberFormat="1" applyFont="1" applyFill="1" applyBorder="1" applyAlignment="1"/>
    <xf numFmtId="0" fontId="82" fillId="25" borderId="59" xfId="53" applyFont="1" applyFill="1" applyBorder="1" applyAlignment="1">
      <alignment vertical="center" wrapText="1"/>
    </xf>
    <xf numFmtId="0" fontId="81" fillId="0" borderId="50" xfId="53" applyFont="1" applyFill="1" applyBorder="1" applyAlignment="1">
      <alignment horizontal="left" vertical="center" wrapText="1"/>
    </xf>
    <xf numFmtId="165" fontId="60" fillId="0" borderId="9" xfId="53" applyNumberFormat="1" applyFont="1" applyFill="1" applyBorder="1" applyAlignment="1"/>
    <xf numFmtId="165" fontId="81" fillId="2" borderId="1" xfId="53" applyNumberFormat="1" applyFont="1" applyFill="1" applyBorder="1" applyAlignment="1">
      <alignment horizontal="right" wrapText="1"/>
    </xf>
    <xf numFmtId="165" fontId="81" fillId="2" borderId="9" xfId="53" applyNumberFormat="1" applyFont="1" applyFill="1" applyBorder="1" applyAlignment="1">
      <alignment horizontal="right" wrapText="1"/>
    </xf>
    <xf numFmtId="165" fontId="81" fillId="0" borderId="0" xfId="53" applyNumberFormat="1" applyFont="1" applyFill="1" applyBorder="1" applyAlignment="1">
      <alignment horizontal="right" wrapText="1"/>
    </xf>
    <xf numFmtId="165" fontId="85" fillId="25" borderId="1" xfId="53" applyNumberFormat="1" applyFont="1" applyFill="1" applyBorder="1" applyAlignment="1">
      <alignment horizontal="right" wrapText="1"/>
    </xf>
    <xf numFmtId="165" fontId="85" fillId="25" borderId="44" xfId="53" applyNumberFormat="1" applyFont="1" applyFill="1" applyBorder="1" applyAlignment="1">
      <alignment horizontal="right" wrapText="1"/>
    </xf>
    <xf numFmtId="0" fontId="82" fillId="25" borderId="57" xfId="53" applyFont="1" applyFill="1" applyBorder="1" applyAlignment="1">
      <alignment horizontal="left" vertical="center" wrapText="1"/>
    </xf>
    <xf numFmtId="0" fontId="60" fillId="0" borderId="60" xfId="53" applyFont="1" applyFill="1" applyBorder="1" applyAlignment="1">
      <alignment vertical="center" wrapText="1"/>
    </xf>
    <xf numFmtId="0" fontId="8" fillId="2" borderId="61" xfId="55" applyFont="1" applyFill="1" applyBorder="1" applyAlignment="1">
      <alignment vertical="top" wrapText="1"/>
    </xf>
    <xf numFmtId="165" fontId="81" fillId="2" borderId="5" xfId="53" applyNumberFormat="1" applyFont="1" applyFill="1" applyBorder="1" applyAlignment="1">
      <alignment horizontal="right" vertical="center" wrapText="1"/>
    </xf>
    <xf numFmtId="165" fontId="81" fillId="2" borderId="7" xfId="53" applyNumberFormat="1" applyFont="1" applyFill="1" applyBorder="1" applyAlignment="1">
      <alignment horizontal="right" vertical="center" wrapText="1"/>
    </xf>
    <xf numFmtId="165" fontId="81" fillId="0" borderId="62" xfId="53" applyNumberFormat="1" applyFont="1" applyFill="1" applyBorder="1" applyAlignment="1">
      <alignment horizontal="right" vertical="center" wrapText="1"/>
    </xf>
    <xf numFmtId="0" fontId="85" fillId="25" borderId="43" xfId="53" applyFont="1" applyFill="1" applyBorder="1" applyAlignment="1">
      <alignment vertical="center" wrapText="1"/>
    </xf>
    <xf numFmtId="0" fontId="86" fillId="25" borderId="43" xfId="53" applyFont="1" applyFill="1" applyBorder="1" applyAlignment="1">
      <alignment vertical="top" wrapText="1"/>
    </xf>
    <xf numFmtId="165" fontId="81" fillId="2" borderId="1" xfId="53" applyNumberFormat="1" applyFont="1" applyFill="1" applyBorder="1" applyAlignment="1">
      <alignment horizontal="right" vertical="center" wrapText="1"/>
    </xf>
    <xf numFmtId="0" fontId="60" fillId="0" borderId="47" xfId="53" applyFont="1" applyFill="1" applyBorder="1" applyAlignment="1">
      <alignment vertical="center" wrapText="1"/>
    </xf>
    <xf numFmtId="165" fontId="81" fillId="2" borderId="48" xfId="53" applyNumberFormat="1" applyFont="1" applyFill="1" applyBorder="1" applyAlignment="1">
      <alignment horizontal="right" vertical="center" wrapText="1"/>
    </xf>
    <xf numFmtId="0" fontId="80" fillId="2" borderId="0" xfId="53" applyFont="1" applyFill="1" applyAlignment="1">
      <alignment vertical="top" wrapText="1"/>
    </xf>
    <xf numFmtId="0" fontId="81" fillId="2" borderId="63" xfId="53" applyFont="1" applyFill="1" applyBorder="1" applyAlignment="1">
      <alignment horizontal="left" vertical="center" wrapText="1"/>
    </xf>
    <xf numFmtId="165" fontId="81" fillId="0" borderId="5" xfId="53" applyNumberFormat="1" applyFont="1" applyFill="1" applyBorder="1" applyAlignment="1">
      <alignment horizontal="right" vertical="center" wrapText="1"/>
    </xf>
    <xf numFmtId="165" fontId="81" fillId="0" borderId="7" xfId="53" applyNumberFormat="1" applyFont="1" applyFill="1" applyBorder="1" applyAlignment="1">
      <alignment horizontal="right" vertical="center" wrapText="1"/>
    </xf>
    <xf numFmtId="0" fontId="81" fillId="2" borderId="47" xfId="53" applyFont="1" applyFill="1" applyBorder="1" applyAlignment="1">
      <alignment horizontal="left" vertical="center" wrapText="1"/>
    </xf>
    <xf numFmtId="165" fontId="81" fillId="0" borderId="48" xfId="53" applyNumberFormat="1" applyFont="1" applyFill="1" applyBorder="1" applyAlignment="1">
      <alignment horizontal="right" vertical="center" wrapText="1"/>
    </xf>
    <xf numFmtId="0" fontId="73" fillId="0" borderId="0" xfId="53" applyFont="1" applyBorder="1" applyAlignment="1">
      <alignment horizontal="center" vertical="center"/>
    </xf>
    <xf numFmtId="0" fontId="85" fillId="25" borderId="40" xfId="53" applyFont="1" applyFill="1" applyBorder="1" applyAlignment="1">
      <alignment horizontal="left" vertical="center" wrapText="1"/>
    </xf>
    <xf numFmtId="165" fontId="82" fillId="0" borderId="1" xfId="53" applyNumberFormat="1" applyFont="1" applyFill="1" applyBorder="1" applyAlignment="1">
      <alignment horizontal="right" vertical="center" wrapText="1"/>
    </xf>
    <xf numFmtId="165" fontId="82" fillId="0" borderId="44" xfId="53" applyNumberFormat="1" applyFont="1" applyFill="1" applyBorder="1" applyAlignment="1">
      <alignment horizontal="right" vertical="center" wrapText="1"/>
    </xf>
    <xf numFmtId="0" fontId="55" fillId="25" borderId="40" xfId="53" applyNumberFormat="1" applyFont="1" applyFill="1" applyBorder="1" applyAlignment="1">
      <alignment horizontal="left" vertical="top"/>
    </xf>
    <xf numFmtId="165" fontId="82" fillId="25" borderId="41" xfId="53" applyNumberFormat="1" applyFont="1" applyFill="1" applyBorder="1" applyAlignment="1">
      <alignment horizontal="right" vertical="center" wrapText="1"/>
    </xf>
    <xf numFmtId="165" fontId="82" fillId="25" borderId="42" xfId="53" applyNumberFormat="1" applyFont="1" applyFill="1" applyBorder="1" applyAlignment="1">
      <alignment horizontal="right" vertical="center" wrapText="1"/>
    </xf>
    <xf numFmtId="0" fontId="10" fillId="2" borderId="43" xfId="2" applyNumberFormat="1" applyFont="1" applyFill="1" applyBorder="1" applyAlignment="1">
      <alignment horizontal="left" vertical="top"/>
    </xf>
    <xf numFmtId="165" fontId="82" fillId="2" borderId="1" xfId="53" applyNumberFormat="1" applyFont="1" applyFill="1" applyBorder="1" applyAlignment="1">
      <alignment horizontal="right" vertical="center" wrapText="1"/>
    </xf>
    <xf numFmtId="165" fontId="82" fillId="2" borderId="44" xfId="53" applyNumberFormat="1" applyFont="1" applyFill="1" applyBorder="1" applyAlignment="1">
      <alignment horizontal="right" vertical="center" wrapText="1"/>
    </xf>
    <xf numFmtId="0" fontId="55" fillId="0" borderId="43" xfId="53" applyNumberFormat="1" applyFont="1" applyFill="1" applyBorder="1" applyAlignment="1">
      <alignment horizontal="left" vertical="top"/>
    </xf>
    <xf numFmtId="0" fontId="10" fillId="2" borderId="47" xfId="2" applyNumberFormat="1" applyFont="1" applyFill="1" applyBorder="1" applyAlignment="1">
      <alignment horizontal="left" vertical="top"/>
    </xf>
    <xf numFmtId="0" fontId="81" fillId="0" borderId="0" xfId="53" applyFont="1" applyFill="1" applyBorder="1" applyAlignment="1">
      <alignment horizontal="left" vertical="center" wrapText="1"/>
    </xf>
    <xf numFmtId="165" fontId="81" fillId="0" borderId="0" xfId="53" applyNumberFormat="1" applyFont="1" applyFill="1" applyBorder="1" applyAlignment="1">
      <alignment horizontal="right" vertical="center" wrapText="1"/>
    </xf>
    <xf numFmtId="0" fontId="81" fillId="0" borderId="0" xfId="53" applyFont="1" applyFill="1" applyAlignment="1">
      <alignment horizontal="right" vertical="center" wrapText="1"/>
    </xf>
    <xf numFmtId="0" fontId="1" fillId="0" borderId="4" xfId="0" applyFont="1" applyFill="1" applyBorder="1" applyAlignment="1">
      <alignment horizontal="center" vertical="center" wrapText="1"/>
    </xf>
    <xf numFmtId="0" fontId="89" fillId="6" borderId="1" xfId="0" applyFont="1" applyFill="1" applyBorder="1" applyAlignment="1">
      <alignment horizontal="center" vertical="center" wrapText="1"/>
    </xf>
    <xf numFmtId="165" fontId="90" fillId="6" borderId="1" xfId="0" applyNumberFormat="1" applyFont="1" applyFill="1" applyBorder="1" applyAlignment="1">
      <alignment vertical="center" wrapText="1"/>
    </xf>
    <xf numFmtId="0" fontId="89" fillId="2" borderId="1" xfId="0" applyFont="1" applyFill="1" applyBorder="1" applyAlignment="1">
      <alignment horizontal="center" vertical="center" wrapText="1"/>
    </xf>
    <xf numFmtId="165" fontId="90" fillId="2" borderId="1" xfId="0" applyNumberFormat="1" applyFont="1" applyFill="1" applyBorder="1" applyAlignment="1">
      <alignment vertical="center" wrapText="1"/>
    </xf>
    <xf numFmtId="0" fontId="91" fillId="2" borderId="1" xfId="0" applyFont="1" applyFill="1" applyBorder="1" applyAlignment="1">
      <alignment horizontal="center" vertical="center" wrapText="1"/>
    </xf>
    <xf numFmtId="165" fontId="93" fillId="2" borderId="1" xfId="0" applyNumberFormat="1" applyFont="1" applyFill="1" applyBorder="1" applyAlignment="1">
      <alignment vertical="center" wrapText="1"/>
    </xf>
    <xf numFmtId="0" fontId="89" fillId="15" borderId="1" xfId="0" applyFont="1" applyFill="1" applyBorder="1" applyAlignment="1">
      <alignment horizontal="center" vertical="center" wrapText="1"/>
    </xf>
    <xf numFmtId="165" fontId="90" fillId="15" borderId="1" xfId="0" applyNumberFormat="1" applyFont="1" applyFill="1" applyBorder="1" applyAlignment="1">
      <alignment vertical="center" wrapText="1"/>
    </xf>
    <xf numFmtId="0" fontId="89" fillId="18" borderId="1" xfId="0" applyFont="1" applyFill="1" applyBorder="1" applyAlignment="1">
      <alignment horizontal="center" vertical="center" wrapText="1"/>
    </xf>
    <xf numFmtId="165" fontId="90" fillId="18" borderId="1" xfId="0" applyNumberFormat="1" applyFont="1" applyFill="1" applyBorder="1" applyAlignment="1">
      <alignment vertical="center" wrapText="1"/>
    </xf>
    <xf numFmtId="165" fontId="14" fillId="2" borderId="1" xfId="0" applyNumberFormat="1" applyFont="1" applyFill="1" applyBorder="1" applyAlignment="1">
      <alignment horizontal="right" vertical="center" wrapText="1"/>
    </xf>
    <xf numFmtId="165" fontId="95" fillId="2" borderId="1" xfId="0" applyNumberFormat="1" applyFont="1" applyFill="1" applyBorder="1" applyAlignment="1">
      <alignment horizontal="right" vertical="center" wrapText="1"/>
    </xf>
    <xf numFmtId="0" fontId="55" fillId="18" borderId="1" xfId="0" applyFont="1" applyFill="1" applyBorder="1" applyAlignment="1">
      <alignment horizontal="center" vertical="center" wrapText="1"/>
    </xf>
    <xf numFmtId="165" fontId="96" fillId="18" borderId="1" xfId="0" applyNumberFormat="1" applyFont="1" applyFill="1" applyBorder="1" applyAlignment="1">
      <alignment vertical="center" wrapText="1"/>
    </xf>
    <xf numFmtId="0" fontId="87" fillId="2" borderId="0" xfId="0" applyFont="1" applyFill="1"/>
    <xf numFmtId="165" fontId="95" fillId="2" borderId="1" xfId="0" applyNumberFormat="1" applyFont="1" applyFill="1" applyBorder="1" applyAlignment="1">
      <alignment vertical="center" wrapText="1"/>
    </xf>
    <xf numFmtId="165" fontId="90" fillId="18" borderId="1" xfId="0" applyNumberFormat="1" applyFont="1" applyFill="1" applyBorder="1" applyAlignment="1">
      <alignment horizontal="right" vertical="center" wrapText="1"/>
    </xf>
    <xf numFmtId="165" fontId="14" fillId="0" borderId="1" xfId="0" applyNumberFormat="1" applyFont="1" applyFill="1" applyBorder="1" applyAlignment="1">
      <alignment vertical="center" wrapText="1"/>
    </xf>
    <xf numFmtId="165" fontId="14" fillId="0" borderId="1" xfId="0" applyNumberFormat="1" applyFont="1" applyFill="1" applyBorder="1" applyAlignment="1">
      <alignment horizontal="right" vertical="center" wrapText="1"/>
    </xf>
    <xf numFmtId="0" fontId="97" fillId="2" borderId="1" xfId="0" applyFont="1" applyFill="1" applyBorder="1" applyAlignment="1">
      <alignment horizontal="center" vertical="center" wrapText="1"/>
    </xf>
    <xf numFmtId="165" fontId="99" fillId="2" borderId="1" xfId="0" applyNumberFormat="1" applyFont="1" applyFill="1" applyBorder="1" applyAlignment="1">
      <alignment vertical="center" wrapText="1"/>
    </xf>
    <xf numFmtId="0" fontId="100" fillId="2" borderId="0" xfId="0" applyFont="1" applyFill="1"/>
    <xf numFmtId="165" fontId="99" fillId="2" borderId="1" xfId="0" applyNumberFormat="1" applyFont="1" applyFill="1" applyBorder="1" applyAlignment="1">
      <alignment horizontal="right" vertical="center" wrapText="1"/>
    </xf>
    <xf numFmtId="0" fontId="97" fillId="0" borderId="1" xfId="0" applyFont="1" applyFill="1" applyBorder="1" applyAlignment="1">
      <alignment horizontal="center" vertical="center" wrapText="1"/>
    </xf>
    <xf numFmtId="165" fontId="99" fillId="0" borderId="1" xfId="0" applyNumberFormat="1" applyFont="1" applyFill="1" applyBorder="1" applyAlignment="1">
      <alignment vertical="center" wrapText="1"/>
    </xf>
    <xf numFmtId="165" fontId="99" fillId="0" borderId="1" xfId="0" applyNumberFormat="1" applyFont="1" applyFill="1" applyBorder="1" applyAlignment="1">
      <alignment horizontal="right" vertical="center" wrapText="1"/>
    </xf>
    <xf numFmtId="0" fontId="87" fillId="0" borderId="0" xfId="0" applyFont="1" applyFill="1"/>
    <xf numFmtId="165" fontId="14" fillId="0" borderId="1" xfId="0" applyNumberFormat="1" applyFont="1" applyFill="1" applyBorder="1" applyAlignment="1">
      <alignment horizontal="right" vertical="center"/>
    </xf>
    <xf numFmtId="0" fontId="101" fillId="2" borderId="0" xfId="0" applyFont="1" applyFill="1"/>
    <xf numFmtId="165" fontId="95" fillId="0" borderId="1" xfId="0" applyNumberFormat="1" applyFont="1" applyFill="1" applyBorder="1" applyAlignment="1">
      <alignment horizontal="right" vertical="center" wrapText="1"/>
    </xf>
    <xf numFmtId="165" fontId="101" fillId="2" borderId="0" xfId="0" applyNumberFormat="1" applyFont="1" applyFill="1"/>
    <xf numFmtId="166" fontId="10" fillId="2" borderId="1" xfId="0" applyNumberFormat="1" applyFont="1" applyFill="1" applyBorder="1" applyAlignment="1">
      <alignment horizontal="right" vertical="center" wrapText="1"/>
    </xf>
    <xf numFmtId="0" fontId="101" fillId="0" borderId="0" xfId="0" applyFont="1"/>
    <xf numFmtId="0" fontId="101" fillId="2" borderId="0" xfId="0" applyFont="1" applyFill="1" applyBorder="1"/>
    <xf numFmtId="165" fontId="14" fillId="2" borderId="1" xfId="0" applyNumberFormat="1" applyFont="1" applyFill="1" applyBorder="1" applyAlignment="1">
      <alignment horizontal="right" vertical="center"/>
    </xf>
    <xf numFmtId="165" fontId="99" fillId="2" borderId="1" xfId="0" applyNumberFormat="1" applyFont="1" applyFill="1" applyBorder="1"/>
    <xf numFmtId="165" fontId="99" fillId="2" borderId="1" xfId="0" applyNumberFormat="1" applyFont="1" applyFill="1" applyBorder="1" applyAlignment="1">
      <alignment horizontal="right"/>
    </xf>
    <xf numFmtId="165" fontId="99" fillId="0" borderId="1" xfId="0" applyNumberFormat="1" applyFont="1" applyFill="1" applyBorder="1" applyAlignment="1">
      <alignment horizontal="right"/>
    </xf>
    <xf numFmtId="0" fontId="103" fillId="2" borderId="0" xfId="0" applyFont="1" applyFill="1"/>
    <xf numFmtId="165" fontId="90" fillId="15" borderId="1" xfId="0" applyNumberFormat="1" applyFont="1" applyFill="1" applyBorder="1" applyAlignment="1">
      <alignment horizontal="right" vertical="center" wrapText="1"/>
    </xf>
    <xf numFmtId="0" fontId="5" fillId="2" borderId="0" xfId="0" applyNumberFormat="1" applyFont="1" applyFill="1" applyBorder="1" applyAlignment="1">
      <alignment vertical="center" wrapText="1"/>
    </xf>
    <xf numFmtId="0" fontId="40" fillId="2" borderId="0" xfId="0" applyFont="1" applyFill="1" applyAlignment="1"/>
    <xf numFmtId="0" fontId="5" fillId="2" borderId="0" xfId="0" applyNumberFormat="1" applyFont="1" applyFill="1" applyAlignment="1">
      <alignment wrapText="1"/>
    </xf>
    <xf numFmtId="0" fontId="41" fillId="2" borderId="0" xfId="0" applyFont="1" applyFill="1" applyAlignment="1"/>
    <xf numFmtId="165" fontId="30" fillId="2" borderId="1" xfId="5" applyNumberFormat="1" applyFont="1" applyFill="1" applyBorder="1" applyAlignment="1">
      <alignment horizontal="right" vertical="center" wrapText="1"/>
    </xf>
    <xf numFmtId="0" fontId="17" fillId="2" borderId="0" xfId="2" applyFont="1" applyFill="1"/>
    <xf numFmtId="0" fontId="17" fillId="2" borderId="0" xfId="2" applyFont="1" applyFill="1" applyAlignment="1">
      <alignment horizontal="center"/>
    </xf>
    <xf numFmtId="165" fontId="17" fillId="2" borderId="0" xfId="2" applyNumberFormat="1" applyFont="1" applyFill="1" applyAlignment="1">
      <alignment horizontal="center"/>
    </xf>
    <xf numFmtId="165" fontId="17" fillId="2" borderId="0" xfId="2" applyNumberFormat="1" applyFont="1" applyFill="1"/>
    <xf numFmtId="165" fontId="17" fillId="2" borderId="0" xfId="2" applyNumberFormat="1" applyFont="1" applyFill="1" applyAlignment="1">
      <alignment horizontal="right" vertical="center"/>
    </xf>
    <xf numFmtId="165" fontId="17" fillId="2" borderId="0" xfId="2" applyNumberFormat="1" applyFont="1" applyFill="1" applyAlignment="1">
      <alignment horizontal="center" vertical="center"/>
    </xf>
    <xf numFmtId="167" fontId="17" fillId="2" borderId="0" xfId="3" applyNumberFormat="1" applyFont="1" applyFill="1" applyAlignment="1">
      <alignment horizontal="center"/>
    </xf>
    <xf numFmtId="9" fontId="17" fillId="2" borderId="0" xfId="3" applyFont="1" applyFill="1" applyAlignment="1">
      <alignment horizontal="center"/>
    </xf>
    <xf numFmtId="165" fontId="17" fillId="2" borderId="0" xfId="3" applyNumberFormat="1" applyFont="1" applyFill="1" applyAlignment="1">
      <alignment horizontal="center"/>
    </xf>
    <xf numFmtId="0" fontId="25" fillId="2" borderId="0" xfId="4" applyFill="1"/>
    <xf numFmtId="0" fontId="24" fillId="2" borderId="0" xfId="2" applyFill="1"/>
    <xf numFmtId="0" fontId="24" fillId="2" borderId="0" xfId="2" applyFill="1" applyAlignment="1">
      <alignment horizontal="center"/>
    </xf>
    <xf numFmtId="165" fontId="24" fillId="2" borderId="0" xfId="2" applyNumberFormat="1" applyFill="1" applyAlignment="1">
      <alignment horizontal="center"/>
    </xf>
    <xf numFmtId="165" fontId="24" fillId="2" borderId="0" xfId="2" applyNumberFormat="1" applyFill="1"/>
    <xf numFmtId="165" fontId="24" fillId="2" borderId="0" xfId="2" applyNumberFormat="1" applyFill="1" applyAlignment="1">
      <alignment horizontal="right"/>
    </xf>
    <xf numFmtId="167" fontId="19" fillId="2" borderId="0" xfId="3" applyNumberFormat="1" applyFill="1" applyAlignment="1">
      <alignment horizontal="center"/>
    </xf>
    <xf numFmtId="9" fontId="19" fillId="2" borderId="0" xfId="3" applyFill="1" applyAlignment="1">
      <alignment horizontal="center"/>
    </xf>
    <xf numFmtId="165" fontId="19" fillId="2" borderId="0" xfId="3" applyNumberFormat="1" applyFill="1" applyAlignment="1">
      <alignment horizontal="center"/>
    </xf>
    <xf numFmtId="165" fontId="30" fillId="2" borderId="1" xfId="2" applyNumberFormat="1" applyFont="1" applyFill="1" applyBorder="1" applyAlignment="1" applyProtection="1">
      <alignment horizontal="center" vertical="center" wrapText="1"/>
      <protection locked="0"/>
    </xf>
    <xf numFmtId="167" fontId="30" fillId="2" borderId="1" xfId="3" applyNumberFormat="1" applyFont="1" applyFill="1" applyBorder="1" applyAlignment="1" applyProtection="1">
      <alignment horizontal="center" vertical="center" wrapText="1"/>
      <protection locked="0"/>
    </xf>
    <xf numFmtId="0" fontId="70" fillId="2" borderId="1" xfId="5" applyFont="1" applyFill="1" applyBorder="1" applyAlignment="1">
      <alignment horizontal="center" vertical="center" wrapText="1"/>
    </xf>
    <xf numFmtId="0" fontId="30" fillId="2" borderId="1" xfId="5" applyFont="1" applyFill="1" applyBorder="1" applyAlignment="1">
      <alignment horizontal="left" vertical="center" wrapText="1"/>
    </xf>
    <xf numFmtId="0" fontId="30" fillId="2" borderId="1" xfId="5" applyFont="1" applyFill="1" applyBorder="1" applyAlignment="1">
      <alignment horizontal="left" vertical="center"/>
    </xf>
    <xf numFmtId="165" fontId="30" fillId="2" borderId="1" xfId="5" applyNumberFormat="1" applyFont="1" applyFill="1" applyBorder="1" applyAlignment="1">
      <alignment horizontal="left" vertical="center" wrapText="1"/>
    </xf>
    <xf numFmtId="165" fontId="25" fillId="2" borderId="0" xfId="4" applyNumberFormat="1" applyFill="1"/>
    <xf numFmtId="165" fontId="25" fillId="2" borderId="0" xfId="4" applyNumberFormat="1" applyFill="1" applyAlignment="1">
      <alignment horizontal="right"/>
    </xf>
    <xf numFmtId="0" fontId="72" fillId="2" borderId="0" xfId="4" applyFont="1" applyFill="1" applyAlignment="1">
      <alignment horizontal="center" vertical="center"/>
    </xf>
    <xf numFmtId="4" fontId="19" fillId="0" borderId="0" xfId="0" applyNumberFormat="1" applyFont="1" applyFill="1" applyBorder="1" applyAlignment="1">
      <alignment horizontal="right"/>
    </xf>
    <xf numFmtId="4" fontId="19" fillId="0" borderId="0" xfId="0" applyNumberFormat="1" applyFont="1" applyFill="1" applyBorder="1" applyAlignment="1"/>
    <xf numFmtId="0" fontId="0" fillId="0" borderId="0" xfId="0" applyFont="1" applyFill="1"/>
    <xf numFmtId="167" fontId="30" fillId="2" borderId="1" xfId="5" applyNumberFormat="1" applyFont="1" applyFill="1" applyBorder="1" applyAlignment="1">
      <alignment horizontal="center" vertical="center" wrapText="1"/>
    </xf>
    <xf numFmtId="0" fontId="25" fillId="2" borderId="0" xfId="4" applyFill="1" applyAlignment="1">
      <alignment horizontal="center"/>
    </xf>
    <xf numFmtId="0" fontId="30" fillId="2" borderId="1" xfId="5" applyFont="1" applyFill="1" applyBorder="1" applyAlignment="1">
      <alignment horizontal="center" vertical="center" wrapText="1"/>
    </xf>
    <xf numFmtId="165" fontId="30" fillId="2" borderId="1" xfId="5" applyNumberFormat="1" applyFont="1" applyFill="1" applyBorder="1" applyAlignment="1">
      <alignment horizontal="center" vertical="center" wrapText="1"/>
    </xf>
    <xf numFmtId="0" fontId="25" fillId="0" borderId="0" xfId="4" applyBorder="1"/>
    <xf numFmtId="0" fontId="72" fillId="2" borderId="0" xfId="4" applyFont="1" applyFill="1" applyBorder="1" applyAlignment="1">
      <alignment horizontal="center" vertical="center"/>
    </xf>
    <xf numFmtId="165" fontId="25" fillId="0" borderId="0" xfId="4" applyNumberFormat="1" applyFill="1"/>
    <xf numFmtId="0" fontId="25" fillId="0" borderId="0" xfId="4" applyFill="1"/>
    <xf numFmtId="165" fontId="25" fillId="0" borderId="0" xfId="4" applyNumberFormat="1" applyFill="1" applyAlignment="1">
      <alignment horizontal="right"/>
    </xf>
    <xf numFmtId="0" fontId="25" fillId="0" borderId="0" xfId="4" applyFill="1" applyAlignment="1">
      <alignment horizontal="center"/>
    </xf>
    <xf numFmtId="4" fontId="30" fillId="0" borderId="4" xfId="0" applyNumberFormat="1" applyFont="1" applyFill="1" applyBorder="1" applyAlignment="1" applyProtection="1">
      <alignment horizontal="center" vertical="center" wrapText="1"/>
      <protection locked="0"/>
    </xf>
    <xf numFmtId="4" fontId="30" fillId="0" borderId="1" xfId="0" applyNumberFormat="1" applyFont="1" applyFill="1" applyBorder="1" applyAlignment="1" applyProtection="1">
      <alignment horizontal="center" vertical="center" wrapText="1"/>
      <protection locked="0"/>
    </xf>
    <xf numFmtId="165" fontId="25" fillId="0" borderId="0" xfId="4" applyNumberFormat="1" applyBorder="1"/>
    <xf numFmtId="165" fontId="25" fillId="0" borderId="0" xfId="4" applyNumberFormat="1" applyFill="1" applyAlignment="1">
      <alignment horizontal="center"/>
    </xf>
    <xf numFmtId="165" fontId="70" fillId="2" borderId="6" xfId="5" applyNumberFormat="1" applyFont="1" applyFill="1" applyBorder="1" applyAlignment="1">
      <alignment horizontal="right" wrapText="1"/>
    </xf>
    <xf numFmtId="165" fontId="30" fillId="2" borderId="1" xfId="5" applyNumberFormat="1" applyFont="1" applyFill="1" applyBorder="1" applyAlignment="1">
      <alignment horizontal="right" wrapText="1"/>
    </xf>
    <xf numFmtId="165" fontId="30" fillId="2" borderId="6" xfId="5" applyNumberFormat="1" applyFont="1" applyFill="1" applyBorder="1" applyAlignment="1">
      <alignment horizontal="right" wrapText="1"/>
    </xf>
    <xf numFmtId="0" fontId="71" fillId="2" borderId="1" xfId="5" applyFont="1" applyFill="1" applyBorder="1" applyAlignment="1">
      <alignment horizontal="center" vertical="center" wrapText="1"/>
    </xf>
    <xf numFmtId="165" fontId="31" fillId="2" borderId="6" xfId="5" applyNumberFormat="1" applyFont="1" applyFill="1" applyBorder="1" applyAlignment="1">
      <alignment horizontal="right" wrapText="1"/>
    </xf>
    <xf numFmtId="167" fontId="71" fillId="2" borderId="1" xfId="4" applyNumberFormat="1" applyFont="1" applyFill="1" applyBorder="1" applyAlignment="1">
      <alignment horizontal="right"/>
    </xf>
    <xf numFmtId="165" fontId="31" fillId="2" borderId="1" xfId="5" applyNumberFormat="1" applyFont="1" applyFill="1" applyBorder="1" applyAlignment="1">
      <alignment horizontal="right" wrapText="1"/>
    </xf>
    <xf numFmtId="165" fontId="31" fillId="2" borderId="1" xfId="4" applyNumberFormat="1" applyFont="1" applyFill="1" applyBorder="1" applyAlignment="1">
      <alignment horizontal="right"/>
    </xf>
    <xf numFmtId="167" fontId="71" fillId="2" borderId="1" xfId="4" applyNumberFormat="1" applyFont="1" applyFill="1" applyBorder="1" applyAlignment="1">
      <alignment horizontal="right" wrapText="1"/>
    </xf>
    <xf numFmtId="165" fontId="31" fillId="2" borderId="1" xfId="4" applyNumberFormat="1" applyFont="1" applyFill="1" applyBorder="1" applyAlignment="1">
      <alignment horizontal="right" wrapText="1"/>
    </xf>
    <xf numFmtId="0" fontId="0" fillId="0" borderId="0" xfId="0" applyAlignment="1">
      <alignment horizontal="justify"/>
    </xf>
    <xf numFmtId="4" fontId="0" fillId="0" borderId="0" xfId="0" applyNumberFormat="1" applyFill="1"/>
    <xf numFmtId="0" fontId="40" fillId="0" borderId="0" xfId="0" applyFont="1"/>
    <xf numFmtId="0" fontId="40" fillId="0" borderId="0" xfId="0" applyFont="1" applyFill="1"/>
    <xf numFmtId="2" fontId="0" fillId="0" borderId="0" xfId="0" applyNumberFormat="1"/>
    <xf numFmtId="0" fontId="0" fillId="0" borderId="0" xfId="0" applyAlignment="1">
      <alignment vertical="center"/>
    </xf>
    <xf numFmtId="166" fontId="30"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5" xfId="0" applyFont="1" applyFill="1" applyBorder="1" applyAlignment="1">
      <alignment vertical="center" wrapText="1"/>
    </xf>
    <xf numFmtId="0" fontId="109" fillId="2" borderId="0" xfId="0" applyFont="1" applyFill="1"/>
    <xf numFmtId="0" fontId="109" fillId="0" borderId="0" xfId="0" applyFont="1" applyFill="1"/>
    <xf numFmtId="0" fontId="32" fillId="0" borderId="0" xfId="0" applyFont="1"/>
    <xf numFmtId="0" fontId="32" fillId="20" borderId="0" xfId="0" applyFont="1" applyFill="1"/>
    <xf numFmtId="0" fontId="32" fillId="0" borderId="0" xfId="0" applyFont="1" applyFill="1"/>
    <xf numFmtId="0" fontId="32" fillId="0" borderId="1" xfId="0" applyFont="1" applyFill="1" applyBorder="1" applyAlignment="1">
      <alignment vertical="top"/>
    </xf>
    <xf numFmtId="0" fontId="32" fillId="0" borderId="1" xfId="0" applyFont="1" applyFill="1" applyBorder="1" applyAlignment="1">
      <alignment vertical="center" wrapText="1"/>
    </xf>
    <xf numFmtId="16" fontId="32" fillId="0" borderId="1" xfId="0" applyNumberFormat="1" applyFont="1" applyFill="1" applyBorder="1" applyAlignment="1">
      <alignment horizontal="center" vertical="center" wrapText="1"/>
    </xf>
    <xf numFmtId="0" fontId="32" fillId="0" borderId="1" xfId="0" applyFont="1" applyFill="1" applyBorder="1"/>
    <xf numFmtId="0" fontId="3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2" fillId="0" borderId="0" xfId="0" applyFont="1" applyFill="1" applyAlignment="1">
      <alignment vertical="center"/>
    </xf>
    <xf numFmtId="0" fontId="36" fillId="0" borderId="1" xfId="0" applyFont="1" applyFill="1" applyBorder="1" applyAlignment="1">
      <alignment horizontal="center" vertical="center" wrapText="1"/>
    </xf>
    <xf numFmtId="0" fontId="21" fillId="0" borderId="0" xfId="0" applyFont="1" applyFill="1"/>
    <xf numFmtId="0" fontId="18" fillId="0" borderId="0" xfId="0" applyFont="1" applyFill="1"/>
    <xf numFmtId="0" fontId="32" fillId="0"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2" fillId="0" borderId="1" xfId="0" applyFont="1" applyFill="1" applyBorder="1" applyAlignment="1">
      <alignment vertical="top" wrapText="1"/>
    </xf>
    <xf numFmtId="0" fontId="31" fillId="2" borderId="1" xfId="5" applyFont="1" applyFill="1" applyBorder="1" applyAlignment="1">
      <alignment horizontal="center" vertical="center" wrapText="1"/>
    </xf>
    <xf numFmtId="0" fontId="17" fillId="2" borderId="0" xfId="2" applyFont="1" applyFill="1" applyAlignment="1">
      <alignment horizontal="left" vertical="center"/>
    </xf>
    <xf numFmtId="165" fontId="24" fillId="2" borderId="0" xfId="2" applyNumberFormat="1" applyFill="1" applyAlignment="1">
      <alignment horizontal="left"/>
    </xf>
    <xf numFmtId="0" fontId="25" fillId="2" borderId="0" xfId="4" applyFill="1" applyBorder="1"/>
    <xf numFmtId="4" fontId="30" fillId="2" borderId="1" xfId="1" applyNumberFormat="1" applyFont="1" applyFill="1" applyBorder="1" applyAlignment="1">
      <alignment horizontal="right" wrapText="1"/>
    </xf>
    <xf numFmtId="0" fontId="25" fillId="2" borderId="1" xfId="4" applyFill="1" applyBorder="1"/>
    <xf numFmtId="165" fontId="31" fillId="2" borderId="1" xfId="4" applyNumberFormat="1" applyFont="1" applyFill="1" applyBorder="1" applyAlignment="1">
      <alignment wrapText="1"/>
    </xf>
    <xf numFmtId="167" fontId="71" fillId="2" borderId="1" xfId="4" applyNumberFormat="1" applyFont="1" applyFill="1" applyBorder="1" applyAlignment="1">
      <alignment wrapText="1"/>
    </xf>
    <xf numFmtId="4" fontId="30" fillId="2" borderId="1" xfId="1" applyNumberFormat="1" applyFont="1" applyFill="1" applyBorder="1" applyAlignment="1">
      <alignment wrapText="1"/>
    </xf>
    <xf numFmtId="165" fontId="25" fillId="2" borderId="0" xfId="4" applyNumberFormat="1" applyFill="1" applyBorder="1"/>
    <xf numFmtId="0" fontId="25" fillId="2" borderId="0" xfId="4" applyFill="1" applyAlignment="1">
      <alignment horizontal="left"/>
    </xf>
    <xf numFmtId="0" fontId="25" fillId="0" borderId="0" xfId="4" applyFill="1" applyAlignment="1">
      <alignment horizontal="left"/>
    </xf>
    <xf numFmtId="166" fontId="30" fillId="0" borderId="11"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165" fontId="31" fillId="26" borderId="6" xfId="5" applyNumberFormat="1" applyFont="1" applyFill="1" applyBorder="1" applyAlignment="1">
      <alignment horizontal="right" wrapText="1"/>
    </xf>
    <xf numFmtId="165" fontId="31" fillId="26" borderId="1" xfId="4" applyNumberFormat="1" applyFont="1" applyFill="1" applyBorder="1" applyAlignment="1">
      <alignment horizontal="right" wrapText="1"/>
    </xf>
    <xf numFmtId="10" fontId="36" fillId="2" borderId="1" xfId="0" applyNumberFormat="1" applyFont="1" applyFill="1" applyBorder="1" applyAlignment="1">
      <alignment horizontal="center" vertical="center" wrapText="1"/>
    </xf>
    <xf numFmtId="167" fontId="36" fillId="2" borderId="1" xfId="0" applyNumberFormat="1" applyFont="1" applyFill="1" applyBorder="1" applyAlignment="1">
      <alignment horizontal="center" vertical="center" wrapText="1"/>
    </xf>
    <xf numFmtId="0" fontId="0" fillId="0" borderId="0" xfId="0" applyAlignment="1">
      <alignment horizontal="justify"/>
    </xf>
    <xf numFmtId="0" fontId="0" fillId="0" borderId="0" xfId="0" applyAlignment="1"/>
    <xf numFmtId="0" fontId="31"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165" fontId="31" fillId="5" borderId="6" xfId="5" applyNumberFormat="1" applyFont="1" applyFill="1" applyBorder="1" applyAlignment="1">
      <alignment horizontal="right" wrapText="1"/>
    </xf>
    <xf numFmtId="165" fontId="31" fillId="27" borderId="1" xfId="4" applyNumberFormat="1" applyFont="1" applyFill="1" applyBorder="1" applyAlignment="1">
      <alignment horizontal="right" wrapText="1"/>
    </xf>
    <xf numFmtId="165" fontId="31" fillId="28" borderId="1" xfId="4" applyNumberFormat="1" applyFont="1" applyFill="1" applyBorder="1" applyAlignment="1">
      <alignment horizontal="right" wrapText="1"/>
    </xf>
    <xf numFmtId="0" fontId="31" fillId="5" borderId="1" xfId="5" applyFont="1" applyFill="1" applyBorder="1" applyAlignment="1">
      <alignment horizontal="center" vertical="center" wrapText="1"/>
    </xf>
    <xf numFmtId="165" fontId="31" fillId="5" borderId="1" xfId="4" applyNumberFormat="1" applyFont="1" applyFill="1" applyBorder="1" applyAlignment="1">
      <alignment horizontal="right" wrapText="1"/>
    </xf>
    <xf numFmtId="167" fontId="71" fillId="5" borderId="1" xfId="4" applyNumberFormat="1" applyFont="1" applyFill="1" applyBorder="1" applyAlignment="1">
      <alignment horizontal="right" wrapText="1"/>
    </xf>
    <xf numFmtId="4" fontId="30" fillId="5" borderId="1" xfId="0" applyNumberFormat="1" applyFont="1" applyFill="1" applyBorder="1" applyAlignment="1">
      <alignment horizontal="right" wrapText="1"/>
    </xf>
    <xf numFmtId="4" fontId="5" fillId="5" borderId="1" xfId="1" applyNumberFormat="1" applyFont="1" applyFill="1" applyBorder="1" applyAlignment="1">
      <alignment wrapText="1"/>
    </xf>
    <xf numFmtId="0" fontId="8" fillId="2"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3" xfId="0" applyNumberFormat="1" applyFont="1" applyFill="1" applyBorder="1" applyAlignment="1">
      <alignment horizontal="left" vertical="center" wrapText="1"/>
    </xf>
    <xf numFmtId="0" fontId="15" fillId="2" borderId="1"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2" fillId="0" borderId="0" xfId="0" applyFont="1" applyFill="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 xfId="0" applyNumberFormat="1"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4" xfId="0" applyNumberFormat="1" applyFont="1" applyFill="1" applyBorder="1" applyAlignment="1">
      <alignment horizontal="center" vertical="center" wrapText="1"/>
    </xf>
    <xf numFmtId="0" fontId="31" fillId="0" borderId="5"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0" fontId="31" fillId="0" borderId="4" xfId="0" applyNumberFormat="1" applyFont="1" applyFill="1" applyBorder="1" applyAlignment="1">
      <alignment horizontal="left" vertical="center" wrapText="1"/>
    </xf>
    <xf numFmtId="0" fontId="31" fillId="0" borderId="5"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44" fillId="0" borderId="0" xfId="8" applyFont="1" applyAlignment="1">
      <alignment horizontal="center" vertical="center" wrapText="1"/>
    </xf>
    <xf numFmtId="0" fontId="14" fillId="0" borderId="4" xfId="8" applyFont="1" applyBorder="1" applyAlignment="1">
      <alignment horizontal="center" vertical="center" wrapText="1"/>
    </xf>
    <xf numFmtId="0" fontId="14" fillId="0" borderId="6" xfId="8" applyFont="1" applyBorder="1" applyAlignment="1">
      <alignment horizontal="center" vertical="center" wrapText="1"/>
    </xf>
    <xf numFmtId="0" fontId="36" fillId="0" borderId="4" xfId="8" applyFont="1" applyBorder="1" applyAlignment="1">
      <alignment horizontal="center" vertical="center"/>
    </xf>
    <xf numFmtId="0" fontId="36" fillId="0" borderId="6" xfId="8" applyFont="1" applyBorder="1" applyAlignment="1">
      <alignment horizontal="center" vertical="center"/>
    </xf>
    <xf numFmtId="0" fontId="37" fillId="2" borderId="4" xfId="8" applyFont="1" applyFill="1" applyBorder="1" applyAlignment="1">
      <alignment horizontal="center" vertical="center" wrapText="1"/>
    </xf>
    <xf numFmtId="0" fontId="37" fillId="2" borderId="6" xfId="8" applyFont="1" applyFill="1" applyBorder="1" applyAlignment="1">
      <alignment horizontal="center" vertical="center" wrapText="1"/>
    </xf>
    <xf numFmtId="0" fontId="10" fillId="0" borderId="4" xfId="8" applyFont="1" applyBorder="1" applyAlignment="1">
      <alignment horizontal="center" vertical="center" wrapText="1"/>
    </xf>
    <xf numFmtId="0" fontId="10" fillId="0" borderId="6" xfId="8" applyFont="1" applyBorder="1" applyAlignment="1">
      <alignment horizontal="center" vertical="center" wrapText="1"/>
    </xf>
    <xf numFmtId="0" fontId="10" fillId="0" borderId="1" xfId="8" applyFont="1" applyBorder="1" applyAlignment="1">
      <alignment horizontal="center" vertical="center" wrapText="1"/>
    </xf>
    <xf numFmtId="0" fontId="44" fillId="10" borderId="1" xfId="8" applyFont="1" applyFill="1" applyBorder="1" applyAlignment="1">
      <alignment horizontal="center" vertical="center" wrapText="1"/>
    </xf>
    <xf numFmtId="0" fontId="45" fillId="9" borderId="15" xfId="8" applyFont="1" applyFill="1" applyBorder="1" applyAlignment="1">
      <alignment horizontal="center" vertical="center" wrapText="1"/>
    </xf>
    <xf numFmtId="0" fontId="45" fillId="9" borderId="11" xfId="8" applyFont="1" applyFill="1" applyBorder="1" applyAlignment="1">
      <alignment horizontal="center" vertical="center" wrapText="1"/>
    </xf>
    <xf numFmtId="49" fontId="37" fillId="2" borderId="1" xfId="8" applyNumberFormat="1" applyFont="1" applyFill="1" applyBorder="1" applyAlignment="1">
      <alignment horizontal="right" vertical="top"/>
    </xf>
    <xf numFmtId="49" fontId="37" fillId="0" borderId="4" xfId="8" applyNumberFormat="1" applyFont="1" applyFill="1" applyBorder="1" applyAlignment="1">
      <alignment horizontal="right" vertical="top"/>
    </xf>
    <xf numFmtId="49" fontId="37" fillId="0" borderId="5" xfId="8" applyNumberFormat="1" applyFont="1" applyFill="1" applyBorder="1" applyAlignment="1">
      <alignment horizontal="right" vertical="top"/>
    </xf>
    <xf numFmtId="0" fontId="1" fillId="2" borderId="2"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5" fillId="2" borderId="6"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35" fillId="2" borderId="1" xfId="0" applyFont="1" applyFill="1" applyBorder="1" applyAlignment="1">
      <alignment horizontal="center" vertical="center"/>
    </xf>
    <xf numFmtId="0" fontId="17" fillId="0" borderId="8" xfId="0" applyNumberFormat="1" applyFont="1" applyFill="1" applyBorder="1" applyAlignment="1">
      <alignment horizontal="center"/>
    </xf>
    <xf numFmtId="0" fontId="17" fillId="0" borderId="9" xfId="0" applyFont="1" applyFill="1" applyBorder="1" applyAlignment="1">
      <alignment horizontal="center" vertical="center" wrapText="1"/>
    </xf>
    <xf numFmtId="0" fontId="0" fillId="0" borderId="10" xfId="0" applyFill="1" applyBorder="1"/>
    <xf numFmtId="0" fontId="0" fillId="0" borderId="11" xfId="0" applyFill="1" applyBorder="1"/>
    <xf numFmtId="0" fontId="31" fillId="5" borderId="4" xfId="4" applyFont="1" applyFill="1" applyBorder="1" applyAlignment="1">
      <alignment horizontal="left" vertical="center" wrapText="1"/>
    </xf>
    <xf numFmtId="0" fontId="31" fillId="5" borderId="5" xfId="4" applyFont="1" applyFill="1" applyBorder="1" applyAlignment="1">
      <alignment horizontal="left" vertical="center" wrapText="1"/>
    </xf>
    <xf numFmtId="0" fontId="31" fillId="5" borderId="6" xfId="4" applyFont="1" applyFill="1" applyBorder="1" applyAlignment="1">
      <alignment horizontal="left" vertical="center" wrapText="1"/>
    </xf>
    <xf numFmtId="165" fontId="31" fillId="15" borderId="4" xfId="4" applyNumberFormat="1" applyFont="1" applyFill="1" applyBorder="1" applyAlignment="1">
      <alignment horizontal="center" vertical="center" wrapText="1"/>
    </xf>
    <xf numFmtId="165" fontId="31" fillId="15" borderId="5" xfId="4" applyNumberFormat="1" applyFont="1" applyFill="1" applyBorder="1" applyAlignment="1">
      <alignment horizontal="center" vertical="center" wrapText="1"/>
    </xf>
    <xf numFmtId="165" fontId="31" fillId="15" borderId="6" xfId="4" applyNumberFormat="1" applyFont="1" applyFill="1" applyBorder="1" applyAlignment="1">
      <alignment horizontal="center" vertical="center" wrapText="1"/>
    </xf>
    <xf numFmtId="0" fontId="31" fillId="2" borderId="4" xfId="4" applyFont="1" applyFill="1" applyBorder="1" applyAlignment="1">
      <alignment horizontal="left" vertical="center" wrapText="1"/>
    </xf>
    <xf numFmtId="0" fontId="31" fillId="2" borderId="5" xfId="4" applyFont="1" applyFill="1" applyBorder="1" applyAlignment="1">
      <alignment horizontal="left" vertical="center" wrapText="1"/>
    </xf>
    <xf numFmtId="0" fontId="31" fillId="2" borderId="6" xfId="4" applyFont="1" applyFill="1" applyBorder="1" applyAlignment="1">
      <alignment horizontal="left" vertical="center" wrapText="1"/>
    </xf>
    <xf numFmtId="0" fontId="5" fillId="5" borderId="4" xfId="4" applyFont="1" applyFill="1" applyBorder="1" applyAlignment="1">
      <alignment horizontal="center" vertical="center"/>
    </xf>
    <xf numFmtId="0" fontId="5" fillId="5" borderId="5" xfId="4" applyFont="1" applyFill="1" applyBorder="1" applyAlignment="1">
      <alignment horizontal="center" vertical="center"/>
    </xf>
    <xf numFmtId="0" fontId="5" fillId="5" borderId="6" xfId="4" applyFont="1" applyFill="1" applyBorder="1" applyAlignment="1">
      <alignment horizontal="center" vertical="center"/>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4" xfId="4" applyFont="1" applyFill="1" applyBorder="1" applyAlignment="1">
      <alignment horizontal="center" vertical="center" wrapText="1"/>
    </xf>
    <xf numFmtId="0" fontId="31" fillId="5" borderId="5" xfId="4" applyFont="1" applyFill="1" applyBorder="1" applyAlignment="1">
      <alignment horizontal="center" vertical="center" wrapText="1"/>
    </xf>
    <xf numFmtId="0" fontId="31" fillId="5" borderId="6" xfId="4" applyFont="1" applyFill="1" applyBorder="1" applyAlignment="1">
      <alignment horizontal="center" vertical="center" wrapText="1"/>
    </xf>
    <xf numFmtId="165" fontId="31" fillId="5" borderId="4" xfId="4" applyNumberFormat="1" applyFont="1" applyFill="1" applyBorder="1" applyAlignment="1">
      <alignment horizontal="center" vertical="center" wrapText="1"/>
    </xf>
    <xf numFmtId="165" fontId="31" fillId="5" borderId="5" xfId="4" applyNumberFormat="1" applyFont="1" applyFill="1" applyBorder="1" applyAlignment="1">
      <alignment horizontal="center" vertical="center" wrapText="1"/>
    </xf>
    <xf numFmtId="165" fontId="31" fillId="5" borderId="6" xfId="4" applyNumberFormat="1" applyFont="1" applyFill="1" applyBorder="1" applyAlignment="1">
      <alignment horizontal="center" vertical="center" wrapText="1"/>
    </xf>
    <xf numFmtId="10" fontId="31" fillId="5" borderId="4" xfId="4" applyNumberFormat="1" applyFont="1" applyFill="1" applyBorder="1" applyAlignment="1">
      <alignment horizontal="center" vertical="center" wrapText="1"/>
    </xf>
    <xf numFmtId="10" fontId="31" fillId="5" borderId="5" xfId="4" applyNumberFormat="1" applyFont="1" applyFill="1" applyBorder="1" applyAlignment="1">
      <alignment horizontal="center" vertical="center" wrapText="1"/>
    </xf>
    <xf numFmtId="10" fontId="31" fillId="5" borderId="6" xfId="4" applyNumberFormat="1" applyFont="1" applyFill="1" applyBorder="1" applyAlignment="1">
      <alignment horizontal="center" vertical="center" wrapText="1"/>
    </xf>
    <xf numFmtId="167" fontId="31" fillId="2" borderId="4" xfId="4" applyNumberFormat="1" applyFont="1" applyFill="1" applyBorder="1" applyAlignment="1">
      <alignment horizontal="center" vertical="center" wrapText="1"/>
    </xf>
    <xf numFmtId="167" fontId="31" fillId="2" borderId="5" xfId="4" applyNumberFormat="1" applyFont="1" applyFill="1" applyBorder="1" applyAlignment="1">
      <alignment horizontal="center" vertical="center" wrapText="1"/>
    </xf>
    <xf numFmtId="167" fontId="31" fillId="2" borderId="6" xfId="4" applyNumberFormat="1" applyFont="1" applyFill="1" applyBorder="1" applyAlignment="1">
      <alignment horizontal="center" vertical="center" wrapText="1"/>
    </xf>
    <xf numFmtId="0" fontId="72" fillId="2" borderId="4" xfId="4" applyFont="1" applyFill="1" applyBorder="1" applyAlignment="1">
      <alignment horizontal="center" vertical="center"/>
    </xf>
    <xf numFmtId="0" fontId="72" fillId="2" borderId="5" xfId="4" applyFont="1" applyFill="1" applyBorder="1" applyAlignment="1">
      <alignment horizontal="center" vertical="center"/>
    </xf>
    <xf numFmtId="0" fontId="72" fillId="2" borderId="6" xfId="4" applyFont="1" applyFill="1" applyBorder="1" applyAlignment="1">
      <alignment horizontal="center" vertical="center"/>
    </xf>
    <xf numFmtId="0" fontId="31" fillId="2" borderId="4" xfId="4" applyFont="1" applyFill="1" applyBorder="1" applyAlignment="1">
      <alignment horizontal="center" vertical="center" wrapText="1"/>
    </xf>
    <xf numFmtId="0" fontId="31" fillId="2" borderId="5" xfId="4" applyFont="1" applyFill="1" applyBorder="1" applyAlignment="1">
      <alignment horizontal="center" vertical="center" wrapText="1"/>
    </xf>
    <xf numFmtId="0" fontId="31" fillId="2" borderId="6" xfId="4" applyFont="1" applyFill="1" applyBorder="1" applyAlignment="1">
      <alignment horizontal="center" vertical="center" wrapText="1"/>
    </xf>
    <xf numFmtId="165" fontId="31" fillId="26" borderId="4" xfId="4" applyNumberFormat="1" applyFont="1" applyFill="1" applyBorder="1" applyAlignment="1">
      <alignment horizontal="center" vertical="center" wrapText="1"/>
    </xf>
    <xf numFmtId="165" fontId="31" fillId="26" borderId="5" xfId="4" applyNumberFormat="1" applyFont="1" applyFill="1" applyBorder="1" applyAlignment="1">
      <alignment horizontal="center" vertical="center" wrapText="1"/>
    </xf>
    <xf numFmtId="165" fontId="31" fillId="26" borderId="6" xfId="4" applyNumberFormat="1" applyFont="1" applyFill="1" applyBorder="1" applyAlignment="1">
      <alignment horizontal="center" vertical="center" wrapText="1"/>
    </xf>
    <xf numFmtId="165" fontId="31" fillId="27" borderId="4" xfId="4" applyNumberFormat="1" applyFont="1" applyFill="1" applyBorder="1" applyAlignment="1">
      <alignment horizontal="center" vertical="center" wrapText="1"/>
    </xf>
    <xf numFmtId="165" fontId="31" fillId="27" borderId="5" xfId="4" applyNumberFormat="1" applyFont="1" applyFill="1" applyBorder="1" applyAlignment="1">
      <alignment horizontal="center" vertical="center" wrapText="1"/>
    </xf>
    <xf numFmtId="165" fontId="31" fillId="27" borderId="6" xfId="4" applyNumberFormat="1" applyFont="1" applyFill="1" applyBorder="1" applyAlignment="1">
      <alignment horizontal="center" vertical="center" wrapText="1"/>
    </xf>
    <xf numFmtId="0" fontId="31" fillId="2" borderId="1" xfId="4" applyFont="1" applyFill="1" applyBorder="1" applyAlignment="1">
      <alignment horizontal="center" vertical="center" wrapText="1"/>
    </xf>
    <xf numFmtId="165" fontId="31" fillId="2" borderId="4" xfId="4" applyNumberFormat="1" applyFont="1" applyFill="1" applyBorder="1" applyAlignment="1">
      <alignment horizontal="center" vertical="center" wrapText="1"/>
    </xf>
    <xf numFmtId="165" fontId="31" fillId="2" borderId="5" xfId="4" applyNumberFormat="1" applyFont="1" applyFill="1" applyBorder="1" applyAlignment="1">
      <alignment horizontal="center" vertical="center" wrapText="1"/>
    </xf>
    <xf numFmtId="165" fontId="31" fillId="2" borderId="6" xfId="4" applyNumberFormat="1" applyFont="1" applyFill="1" applyBorder="1" applyAlignment="1">
      <alignment horizontal="center" vertical="center" wrapText="1"/>
    </xf>
    <xf numFmtId="9" fontId="31" fillId="2" borderId="4" xfId="4" applyNumberFormat="1" applyFont="1" applyFill="1" applyBorder="1" applyAlignment="1">
      <alignment horizontal="center" vertical="center" wrapText="1"/>
    </xf>
    <xf numFmtId="4" fontId="31" fillId="2" borderId="4" xfId="4" applyNumberFormat="1" applyFont="1" applyFill="1" applyBorder="1" applyAlignment="1">
      <alignment horizontal="center" vertical="center" wrapText="1"/>
    </xf>
    <xf numFmtId="4" fontId="31" fillId="2" borderId="5" xfId="4" applyNumberFormat="1" applyFont="1" applyFill="1" applyBorder="1" applyAlignment="1">
      <alignment horizontal="center" vertical="center" wrapText="1"/>
    </xf>
    <xf numFmtId="4" fontId="31" fillId="2" borderId="6" xfId="4"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5" fontId="31" fillId="2" borderId="1" xfId="4" applyNumberFormat="1" applyFont="1" applyFill="1" applyBorder="1" applyAlignment="1">
      <alignment horizontal="center" vertical="center" wrapText="1"/>
    </xf>
    <xf numFmtId="0" fontId="31" fillId="2" borderId="1" xfId="4" applyFont="1" applyFill="1" applyBorder="1" applyAlignment="1">
      <alignment horizontal="left" vertical="center" wrapText="1"/>
    </xf>
    <xf numFmtId="2" fontId="31" fillId="2" borderId="4" xfId="4" applyNumberFormat="1" applyFont="1" applyFill="1" applyBorder="1" applyAlignment="1">
      <alignment horizontal="center" vertical="center" wrapText="1"/>
    </xf>
    <xf numFmtId="2" fontId="31" fillId="2" borderId="5" xfId="4" applyNumberFormat="1" applyFont="1" applyFill="1" applyBorder="1" applyAlignment="1">
      <alignment horizontal="center" vertical="center" wrapText="1"/>
    </xf>
    <xf numFmtId="2" fontId="31" fillId="2" borderId="6" xfId="4" applyNumberFormat="1" applyFont="1" applyFill="1" applyBorder="1" applyAlignment="1">
      <alignment horizontal="center" vertical="center" wrapText="1"/>
    </xf>
    <xf numFmtId="165" fontId="31" fillId="2" borderId="4" xfId="3" applyNumberFormat="1" applyFont="1" applyFill="1" applyBorder="1" applyAlignment="1">
      <alignment horizontal="center" vertical="center" wrapText="1"/>
    </xf>
    <xf numFmtId="165" fontId="31" fillId="2" borderId="5" xfId="3" applyNumberFormat="1" applyFont="1" applyFill="1" applyBorder="1" applyAlignment="1">
      <alignment horizontal="center" vertical="center" wrapText="1"/>
    </xf>
    <xf numFmtId="165" fontId="31" fillId="2" borderId="6" xfId="3" applyNumberFormat="1" applyFont="1" applyFill="1" applyBorder="1" applyAlignment="1">
      <alignment horizontal="center" vertical="center" wrapText="1"/>
    </xf>
    <xf numFmtId="0" fontId="31" fillId="2" borderId="4" xfId="5" applyFont="1" applyFill="1" applyBorder="1" applyAlignment="1">
      <alignment horizontal="center" vertical="center" wrapText="1"/>
    </xf>
    <xf numFmtId="0" fontId="31" fillId="2" borderId="5" xfId="5" applyFont="1" applyFill="1" applyBorder="1" applyAlignment="1">
      <alignment horizontal="center" vertical="center" wrapText="1"/>
    </xf>
    <xf numFmtId="0" fontId="31" fillId="2" borderId="6" xfId="5" applyFont="1" applyFill="1" applyBorder="1" applyAlignment="1">
      <alignment horizontal="center" vertical="center" wrapText="1"/>
    </xf>
    <xf numFmtId="0" fontId="30" fillId="2" borderId="4" xfId="5" applyNumberFormat="1" applyFont="1" applyFill="1" applyBorder="1" applyAlignment="1">
      <alignment horizontal="center" vertical="center" wrapText="1"/>
    </xf>
    <xf numFmtId="0" fontId="30" fillId="2" borderId="5" xfId="5" applyNumberFormat="1" applyFont="1" applyFill="1" applyBorder="1" applyAlignment="1">
      <alignment horizontal="center" vertical="center" wrapText="1"/>
    </xf>
    <xf numFmtId="0" fontId="30" fillId="2" borderId="6" xfId="5" applyNumberFormat="1" applyFont="1" applyFill="1" applyBorder="1" applyAlignment="1">
      <alignment horizontal="center" vertical="center" wrapText="1"/>
    </xf>
    <xf numFmtId="0" fontId="31" fillId="5" borderId="1" xfId="4" applyFont="1" applyFill="1" applyBorder="1" applyAlignment="1">
      <alignment horizontal="center" vertical="center" wrapText="1"/>
    </xf>
    <xf numFmtId="0" fontId="31" fillId="2" borderId="1" xfId="5" applyNumberFormat="1" applyFont="1" applyFill="1" applyBorder="1" applyAlignment="1">
      <alignment horizontal="center" vertical="center" wrapText="1"/>
    </xf>
    <xf numFmtId="9" fontId="31" fillId="2" borderId="1" xfId="3" applyFont="1" applyFill="1" applyBorder="1" applyAlignment="1">
      <alignment horizontal="center" vertical="center" wrapText="1"/>
    </xf>
    <xf numFmtId="9" fontId="31" fillId="2" borderId="4" xfId="3" applyFont="1" applyFill="1" applyBorder="1" applyAlignment="1">
      <alignment horizontal="center" vertical="center" wrapText="1"/>
    </xf>
    <xf numFmtId="9" fontId="31" fillId="2" borderId="5" xfId="3" applyFont="1" applyFill="1" applyBorder="1" applyAlignment="1">
      <alignment horizontal="center" vertical="center" wrapText="1"/>
    </xf>
    <xf numFmtId="9" fontId="31" fillId="2" borderId="6" xfId="3" applyFont="1" applyFill="1" applyBorder="1" applyAlignment="1">
      <alignment horizontal="center" vertical="center" wrapText="1"/>
    </xf>
    <xf numFmtId="0" fontId="31" fillId="5" borderId="4" xfId="5" applyFont="1" applyFill="1" applyBorder="1" applyAlignment="1">
      <alignment horizontal="center" vertical="center" wrapText="1"/>
    </xf>
    <xf numFmtId="0" fontId="31" fillId="5" borderId="5" xfId="5" applyFont="1" applyFill="1" applyBorder="1" applyAlignment="1">
      <alignment horizontal="center" vertical="center" wrapText="1"/>
    </xf>
    <xf numFmtId="0" fontId="31" fillId="5" borderId="6" xfId="5" applyFont="1" applyFill="1" applyBorder="1" applyAlignment="1">
      <alignment horizontal="center" vertical="center" wrapText="1"/>
    </xf>
    <xf numFmtId="0" fontId="31" fillId="2" borderId="4" xfId="5" applyNumberFormat="1" applyFont="1" applyFill="1" applyBorder="1" applyAlignment="1">
      <alignment horizontal="center" vertical="center" wrapText="1"/>
    </xf>
    <xf numFmtId="0" fontId="31" fillId="2" borderId="5" xfId="5" applyNumberFormat="1" applyFont="1" applyFill="1" applyBorder="1" applyAlignment="1">
      <alignment horizontal="center" vertical="center" wrapText="1"/>
    </xf>
    <xf numFmtId="0" fontId="31" fillId="2" borderId="6" xfId="5" applyNumberFormat="1" applyFont="1" applyFill="1" applyBorder="1" applyAlignment="1">
      <alignment horizontal="center" vertical="center" wrapText="1"/>
    </xf>
    <xf numFmtId="165" fontId="31" fillId="2" borderId="4" xfId="5" applyNumberFormat="1" applyFont="1" applyFill="1" applyBorder="1" applyAlignment="1">
      <alignment horizontal="center" vertical="center" wrapText="1"/>
    </xf>
    <xf numFmtId="165" fontId="31" fillId="2" borderId="5" xfId="5" applyNumberFormat="1" applyFont="1" applyFill="1" applyBorder="1" applyAlignment="1">
      <alignment horizontal="center" vertical="center" wrapText="1"/>
    </xf>
    <xf numFmtId="165" fontId="31" fillId="2" borderId="6" xfId="5" applyNumberFormat="1" applyFont="1" applyFill="1" applyBorder="1" applyAlignment="1">
      <alignment horizontal="center" vertical="center" wrapText="1"/>
    </xf>
    <xf numFmtId="169" fontId="31" fillId="2" borderId="4" xfId="5" applyNumberFormat="1" applyFont="1" applyFill="1" applyBorder="1" applyAlignment="1">
      <alignment horizontal="center" vertical="center" wrapText="1"/>
    </xf>
    <xf numFmtId="169" fontId="31" fillId="2" borderId="5" xfId="5" applyNumberFormat="1" applyFont="1" applyFill="1" applyBorder="1" applyAlignment="1">
      <alignment horizontal="center" vertical="center" wrapText="1"/>
    </xf>
    <xf numFmtId="169" fontId="31" fillId="2" borderId="6" xfId="5" applyNumberFormat="1" applyFont="1" applyFill="1" applyBorder="1" applyAlignment="1">
      <alignment horizontal="center" vertical="center" wrapText="1"/>
    </xf>
    <xf numFmtId="165" fontId="30" fillId="2" borderId="9" xfId="2" applyNumberFormat="1" applyFont="1" applyFill="1" applyBorder="1" applyAlignment="1" applyProtection="1">
      <alignment horizontal="center" vertical="center" wrapText="1"/>
      <protection locked="0"/>
    </xf>
    <xf numFmtId="165" fontId="30" fillId="2" borderId="10" xfId="2" applyNumberFormat="1" applyFont="1" applyFill="1" applyBorder="1" applyAlignment="1" applyProtection="1">
      <alignment horizontal="center" vertical="center" wrapText="1"/>
      <protection locked="0"/>
    </xf>
    <xf numFmtId="165" fontId="30" fillId="2" borderId="11" xfId="2" applyNumberFormat="1" applyFont="1" applyFill="1" applyBorder="1" applyAlignment="1" applyProtection="1">
      <alignment horizontal="center" vertical="center" wrapText="1"/>
      <protection locked="0"/>
    </xf>
    <xf numFmtId="9" fontId="30" fillId="2" borderId="4" xfId="3" applyFont="1" applyFill="1" applyBorder="1" applyAlignment="1" applyProtection="1">
      <alignment horizontal="center" vertical="center" wrapText="1"/>
      <protection locked="0"/>
    </xf>
    <xf numFmtId="9" fontId="30" fillId="2" borderId="6" xfId="3" applyFont="1" applyFill="1" applyBorder="1" applyAlignment="1" applyProtection="1">
      <alignment horizontal="center" vertical="center" wrapText="1"/>
      <protection locked="0"/>
    </xf>
    <xf numFmtId="165" fontId="30" fillId="2" borderId="4" xfId="3" applyNumberFormat="1" applyFont="1" applyFill="1" applyBorder="1" applyAlignment="1" applyProtection="1">
      <alignment horizontal="center" vertical="center" wrapText="1"/>
      <protection locked="0"/>
    </xf>
    <xf numFmtId="165" fontId="30" fillId="2" borderId="6" xfId="3" applyNumberFormat="1" applyFont="1" applyFill="1" applyBorder="1" applyAlignment="1" applyProtection="1">
      <alignment horizontal="center" vertical="center" wrapText="1"/>
      <protection locked="0"/>
    </xf>
    <xf numFmtId="4" fontId="30" fillId="2" borderId="4" xfId="2" applyNumberFormat="1" applyFont="1" applyFill="1" applyBorder="1" applyAlignment="1" applyProtection="1">
      <alignment horizontal="left" vertical="center" wrapText="1"/>
      <protection locked="0"/>
    </xf>
    <xf numFmtId="4" fontId="30" fillId="2" borderId="6" xfId="2" applyNumberFormat="1" applyFont="1" applyFill="1" applyBorder="1" applyAlignment="1" applyProtection="1">
      <alignment horizontal="left" vertical="center" wrapText="1"/>
      <protection locked="0"/>
    </xf>
    <xf numFmtId="0" fontId="70" fillId="2" borderId="1" xfId="5" applyNumberFormat="1" applyFont="1" applyFill="1" applyBorder="1" applyAlignment="1">
      <alignment horizontal="center" vertical="center" wrapText="1"/>
    </xf>
    <xf numFmtId="0" fontId="70" fillId="2" borderId="1" xfId="5" applyFont="1" applyFill="1" applyBorder="1" applyAlignment="1">
      <alignment horizontal="left" vertical="center" wrapText="1"/>
    </xf>
    <xf numFmtId="9" fontId="70" fillId="2" borderId="1" xfId="3" applyFont="1" applyFill="1" applyBorder="1" applyAlignment="1">
      <alignment horizontal="center" vertical="center" wrapText="1"/>
    </xf>
    <xf numFmtId="165" fontId="70" fillId="2" borderId="4" xfId="3" applyNumberFormat="1" applyFont="1" applyFill="1" applyBorder="1" applyAlignment="1">
      <alignment horizontal="center" vertical="center" wrapText="1"/>
    </xf>
    <xf numFmtId="165" fontId="70" fillId="2" borderId="5" xfId="3" applyNumberFormat="1" applyFont="1" applyFill="1" applyBorder="1" applyAlignment="1">
      <alignment horizontal="center" vertical="center" wrapText="1"/>
    </xf>
    <xf numFmtId="165" fontId="70" fillId="2" borderId="6" xfId="3" applyNumberFormat="1" applyFont="1" applyFill="1" applyBorder="1" applyAlignment="1">
      <alignment horizontal="center" vertical="center" wrapText="1"/>
    </xf>
    <xf numFmtId="165" fontId="70" fillId="2" borderId="1" xfId="5" applyNumberFormat="1" applyFont="1" applyFill="1" applyBorder="1" applyAlignment="1">
      <alignment horizontal="left" vertical="center" wrapText="1"/>
    </xf>
    <xf numFmtId="0" fontId="22" fillId="2" borderId="0" xfId="2" applyFont="1" applyFill="1" applyAlignment="1">
      <alignment horizontal="center"/>
    </xf>
    <xf numFmtId="0" fontId="30" fillId="2" borderId="4" xfId="2" applyFont="1" applyFill="1" applyBorder="1" applyAlignment="1">
      <alignment horizontal="center" vertical="center" wrapText="1"/>
    </xf>
    <xf numFmtId="0" fontId="30" fillId="2" borderId="6" xfId="2" applyFont="1" applyFill="1" applyBorder="1" applyAlignment="1">
      <alignment horizontal="center" vertical="center" wrapText="1"/>
    </xf>
    <xf numFmtId="4" fontId="30" fillId="2" borderId="4" xfId="2" applyNumberFormat="1" applyFont="1" applyFill="1" applyBorder="1" applyAlignment="1" applyProtection="1">
      <alignment horizontal="center" vertical="center" wrapText="1"/>
      <protection locked="0"/>
    </xf>
    <xf numFmtId="4" fontId="30" fillId="2" borderId="6" xfId="2" applyNumberFormat="1" applyFont="1" applyFill="1" applyBorder="1" applyAlignment="1" applyProtection="1">
      <alignment horizontal="center" vertical="center" wrapText="1"/>
      <protection locked="0"/>
    </xf>
    <xf numFmtId="165" fontId="30" fillId="2" borderId="4" xfId="2" applyNumberFormat="1" applyFont="1" applyFill="1" applyBorder="1" applyAlignment="1" applyProtection="1">
      <alignment horizontal="center" vertical="center" wrapText="1"/>
      <protection locked="0"/>
    </xf>
    <xf numFmtId="165" fontId="30" fillId="2" borderId="6" xfId="2" applyNumberFormat="1" applyFont="1" applyFill="1" applyBorder="1" applyAlignment="1" applyProtection="1">
      <alignment horizontal="center" vertical="center" wrapText="1"/>
      <protection locked="0"/>
    </xf>
    <xf numFmtId="0" fontId="0" fillId="0" borderId="0" xfId="0" applyAlignment="1">
      <alignment horizontal="justify"/>
    </xf>
    <xf numFmtId="0" fontId="0" fillId="0" borderId="0" xfId="0" applyAlignment="1"/>
    <xf numFmtId="0" fontId="30" fillId="0" borderId="1" xfId="0" applyFont="1" applyFill="1" applyBorder="1" applyAlignment="1">
      <alignment horizontal="center" vertical="center" wrapText="1"/>
    </xf>
    <xf numFmtId="0" fontId="30" fillId="0" borderId="1" xfId="56" applyFont="1" applyFill="1" applyBorder="1" applyAlignment="1">
      <alignment horizontal="center" vertical="center" wrapText="1"/>
    </xf>
    <xf numFmtId="0" fontId="30" fillId="0" borderId="1" xfId="56" applyFont="1" applyFill="1" applyBorder="1" applyAlignment="1">
      <alignment horizontal="left" vertical="center" wrapText="1"/>
    </xf>
    <xf numFmtId="0" fontId="60" fillId="2" borderId="0" xfId="0" applyFont="1" applyFill="1" applyAlignment="1">
      <alignment horizontal="left" vertical="top"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60" fillId="2" borderId="0" xfId="0" applyFont="1" applyFill="1" applyAlignment="1">
      <alignment horizontal="left" vertical="top"/>
    </xf>
    <xf numFmtId="0" fontId="74" fillId="0" borderId="0" xfId="11" applyNumberFormat="1" applyProtection="1">
      <alignment horizontal="center" vertical="top" wrapText="1"/>
    </xf>
    <xf numFmtId="0" fontId="74" fillId="0" borderId="0" xfId="11">
      <alignment horizontal="center" vertical="top" wrapText="1"/>
    </xf>
    <xf numFmtId="0" fontId="76" fillId="0" borderId="0" xfId="13" applyNumberFormat="1" applyProtection="1">
      <alignment horizontal="right" vertical="top" wrapText="1"/>
    </xf>
    <xf numFmtId="0" fontId="76" fillId="0" borderId="0" xfId="13">
      <alignment horizontal="right" vertical="top" wrapText="1"/>
    </xf>
    <xf numFmtId="0" fontId="76" fillId="0" borderId="0" xfId="52" applyNumberFormat="1" applyProtection="1">
      <alignment horizontal="left" vertical="top" wrapText="1"/>
    </xf>
    <xf numFmtId="0" fontId="76" fillId="0" borderId="0" xfId="52">
      <alignment horizontal="left" vertical="top" wrapText="1"/>
    </xf>
    <xf numFmtId="0" fontId="81" fillId="0" borderId="0" xfId="53" applyFont="1" applyFill="1" applyAlignment="1">
      <alignment horizontal="right" vertical="center" wrapText="1"/>
    </xf>
    <xf numFmtId="0" fontId="82" fillId="0" borderId="0" xfId="53" applyFont="1" applyFill="1" applyAlignment="1">
      <alignment horizontal="center" vertical="center" wrapText="1"/>
    </xf>
    <xf numFmtId="0" fontId="82" fillId="0" borderId="40" xfId="53" applyFont="1" applyFill="1" applyBorder="1" applyAlignment="1">
      <alignment horizontal="center" vertical="center" wrapText="1"/>
    </xf>
    <xf numFmtId="0" fontId="82" fillId="0" borderId="43" xfId="53" applyFont="1" applyFill="1" applyBorder="1" applyAlignment="1">
      <alignment horizontal="center" vertical="top" wrapText="1"/>
    </xf>
    <xf numFmtId="0" fontId="81" fillId="0" borderId="41" xfId="53" applyFont="1" applyFill="1" applyBorder="1" applyAlignment="1">
      <alignment horizontal="center" vertical="center" wrapText="1"/>
    </xf>
    <xf numFmtId="0" fontId="81" fillId="0" borderId="1" xfId="53" applyFont="1" applyFill="1" applyBorder="1" applyAlignment="1">
      <alignment horizontal="center" vertical="center" wrapText="1"/>
    </xf>
    <xf numFmtId="165" fontId="81" fillId="0" borderId="42" xfId="53" applyNumberFormat="1" applyFont="1" applyFill="1" applyBorder="1" applyAlignment="1">
      <alignment horizontal="center" vertical="center" wrapText="1"/>
    </xf>
    <xf numFmtId="165" fontId="81" fillId="0" borderId="44" xfId="53" applyNumberFormat="1" applyFont="1" applyFill="1" applyBorder="1" applyAlignment="1">
      <alignment vertical="top" wrapText="1"/>
    </xf>
    <xf numFmtId="165" fontId="81" fillId="0" borderId="45" xfId="53" applyNumberFormat="1" applyFont="1" applyFill="1" applyBorder="1" applyAlignment="1">
      <alignment horizontal="right" vertical="center" wrapText="1"/>
    </xf>
    <xf numFmtId="0" fontId="80" fillId="0" borderId="46" xfId="53" applyFont="1" applyFill="1" applyBorder="1" applyAlignment="1">
      <alignment horizontal="right" vertical="center" wrapText="1"/>
    </xf>
    <xf numFmtId="0" fontId="80" fillId="0" borderId="49" xfId="53" applyFont="1" applyFill="1" applyBorder="1" applyAlignment="1">
      <alignment horizontal="right" vertical="center" wrapText="1"/>
    </xf>
    <xf numFmtId="0" fontId="55" fillId="0" borderId="0" xfId="53" applyFont="1" applyFill="1" applyBorder="1" applyAlignment="1">
      <alignment horizontal="center" vertical="center" wrapText="1"/>
    </xf>
    <xf numFmtId="0" fontId="81" fillId="0" borderId="0" xfId="53" applyFont="1" applyFill="1" applyAlignment="1">
      <alignment vertical="top" wrapText="1"/>
    </xf>
    <xf numFmtId="0" fontId="81" fillId="0" borderId="40" xfId="53" applyFont="1" applyFill="1" applyBorder="1" applyAlignment="1">
      <alignment horizontal="center" vertical="center" wrapText="1"/>
    </xf>
    <xf numFmtId="0" fontId="81" fillId="0" borderId="47" xfId="53" applyFont="1" applyFill="1" applyBorder="1" applyAlignment="1">
      <alignment horizontal="center" vertical="center" wrapText="1"/>
    </xf>
    <xf numFmtId="0" fontId="81" fillId="0" borderId="48" xfId="53" applyFont="1" applyFill="1" applyBorder="1" applyAlignment="1">
      <alignment horizontal="center" vertical="center" wrapText="1"/>
    </xf>
    <xf numFmtId="0" fontId="81" fillId="0" borderId="51" xfId="53" applyFont="1" applyFill="1" applyBorder="1" applyAlignment="1">
      <alignment horizontal="center" vertical="center" wrapText="1"/>
    </xf>
    <xf numFmtId="0" fontId="81" fillId="0" borderId="52" xfId="53" applyFont="1" applyFill="1" applyBorder="1" applyAlignment="1">
      <alignment horizontal="center" vertical="center" wrapText="1"/>
    </xf>
    <xf numFmtId="0" fontId="81" fillId="0" borderId="42" xfId="53" applyFont="1" applyFill="1" applyBorder="1" applyAlignment="1">
      <alignment horizontal="center" vertical="center" wrapText="1"/>
    </xf>
    <xf numFmtId="0" fontId="81" fillId="0" borderId="53" xfId="53" applyFont="1" applyFill="1" applyBorder="1" applyAlignment="1">
      <alignment horizontal="center" vertical="center" wrapText="1"/>
    </xf>
    <xf numFmtId="0" fontId="82" fillId="0" borderId="54" xfId="53" applyFont="1" applyFill="1" applyBorder="1" applyAlignment="1">
      <alignment horizontal="center" vertical="top" wrapText="1"/>
    </xf>
    <xf numFmtId="0" fontId="82" fillId="0" borderId="55" xfId="53" applyFont="1" applyFill="1" applyBorder="1" applyAlignment="1">
      <alignment horizontal="center" vertical="top" wrapText="1"/>
    </xf>
    <xf numFmtId="0" fontId="82" fillId="0" borderId="56" xfId="53" applyFont="1" applyFill="1" applyBorder="1" applyAlignment="1">
      <alignment horizontal="center" vertical="top" wrapText="1"/>
    </xf>
    <xf numFmtId="165" fontId="81" fillId="2" borderId="45" xfId="53" applyNumberFormat="1" applyFont="1" applyFill="1" applyBorder="1" applyAlignment="1">
      <alignment horizontal="right" vertical="center" wrapText="1"/>
    </xf>
    <xf numFmtId="0" fontId="82" fillId="0" borderId="0" xfId="53" applyFont="1" applyFill="1" applyBorder="1" applyAlignment="1">
      <alignment horizontal="center" vertical="center" wrapText="1"/>
    </xf>
    <xf numFmtId="0" fontId="86" fillId="0" borderId="7" xfId="53" applyFont="1" applyFill="1" applyBorder="1" applyAlignment="1">
      <alignment horizontal="center" vertical="center" wrapText="1"/>
    </xf>
    <xf numFmtId="0" fontId="81" fillId="0" borderId="0" xfId="53" applyFont="1" applyFill="1" applyBorder="1" applyAlignment="1">
      <alignment horizontal="center" vertical="center" wrapText="1"/>
    </xf>
    <xf numFmtId="0" fontId="81" fillId="0" borderId="17" xfId="53" applyFont="1" applyFill="1" applyBorder="1" applyAlignment="1">
      <alignment horizontal="center" vertical="center" wrapText="1"/>
    </xf>
    <xf numFmtId="0" fontId="97" fillId="2" borderId="1" xfId="0" applyNumberFormat="1" applyFont="1" applyFill="1" applyBorder="1" applyAlignment="1">
      <alignment horizontal="center" vertical="center" wrapText="1"/>
    </xf>
    <xf numFmtId="0" fontId="98" fillId="0" borderId="1" xfId="0" applyNumberFormat="1" applyFont="1" applyFill="1" applyBorder="1" applyAlignment="1">
      <alignment vertical="center" wrapText="1"/>
    </xf>
    <xf numFmtId="0" fontId="97" fillId="2" borderId="1" xfId="0" applyFont="1" applyFill="1" applyBorder="1" applyAlignment="1">
      <alignment horizontal="center" vertical="center" wrapText="1"/>
    </xf>
    <xf numFmtId="0" fontId="98" fillId="2" borderId="1" xfId="0" applyFont="1" applyFill="1" applyBorder="1" applyAlignment="1">
      <alignment horizontal="center" vertical="center" wrapText="1"/>
    </xf>
    <xf numFmtId="0" fontId="30"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89" fillId="15" borderId="1" xfId="0" applyNumberFormat="1" applyFont="1" applyFill="1" applyBorder="1" applyAlignment="1">
      <alignment horizontal="center" vertical="center" wrapText="1"/>
    </xf>
    <xf numFmtId="0" fontId="88" fillId="15" borderId="1" xfId="0" applyFont="1" applyFill="1" applyBorder="1" applyAlignment="1">
      <alignment vertical="center" wrapText="1"/>
    </xf>
    <xf numFmtId="0" fontId="89" fillId="15" borderId="1" xfId="0" applyFont="1" applyFill="1" applyBorder="1" applyAlignment="1">
      <alignment horizontal="center" vertical="center" wrapText="1"/>
    </xf>
    <xf numFmtId="0" fontId="104" fillId="15" borderId="1" xfId="0" applyFont="1" applyFill="1" applyBorder="1" applyAlignment="1">
      <alignment horizontal="center" vertical="center"/>
    </xf>
    <xf numFmtId="0" fontId="88" fillId="15" borderId="1" xfId="0" applyFont="1" applyFill="1" applyBorder="1" applyAlignment="1">
      <alignment horizontal="center" vertical="center" wrapText="1"/>
    </xf>
    <xf numFmtId="0" fontId="98" fillId="2" borderId="1" xfId="0"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0" fontId="30" fillId="0" borderId="1" xfId="0" applyNumberFormat="1" applyFont="1" applyFill="1" applyBorder="1" applyAlignment="1">
      <alignment vertical="center" wrapText="1"/>
    </xf>
    <xf numFmtId="0" fontId="30" fillId="2" borderId="1" xfId="0" applyFont="1" applyFill="1" applyBorder="1" applyAlignment="1">
      <alignment vertical="center" wrapText="1"/>
    </xf>
    <xf numFmtId="0" fontId="98" fillId="2" borderId="1" xfId="0" applyNumberFormat="1" applyFont="1" applyFill="1" applyBorder="1" applyAlignment="1">
      <alignment vertical="center" wrapText="1"/>
    </xf>
    <xf numFmtId="0" fontId="55" fillId="18" borderId="1" xfId="0" applyNumberFormat="1" applyFont="1" applyFill="1" applyBorder="1" applyAlignment="1">
      <alignment horizontal="center" vertical="center" wrapText="1"/>
    </xf>
    <xf numFmtId="0" fontId="88" fillId="18" borderId="1" xfId="0" applyNumberFormat="1" applyFont="1" applyFill="1" applyBorder="1" applyAlignment="1">
      <alignment vertical="center" wrapText="1"/>
    </xf>
    <xf numFmtId="0" fontId="89" fillId="18" borderId="1" xfId="0" applyFont="1" applyFill="1" applyBorder="1" applyAlignment="1">
      <alignment horizontal="center" vertical="center" wrapText="1"/>
    </xf>
    <xf numFmtId="0" fontId="70" fillId="18" borderId="1" xfId="0" applyFont="1" applyFill="1" applyBorder="1" applyAlignment="1">
      <alignment horizontal="center" vertical="center" wrapText="1"/>
    </xf>
    <xf numFmtId="0" fontId="88" fillId="18"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94" fillId="2" borderId="1" xfId="0" applyNumberFormat="1" applyFont="1" applyFill="1" applyBorder="1" applyAlignment="1">
      <alignment vertical="center" wrapText="1"/>
    </xf>
    <xf numFmtId="0" fontId="94" fillId="0" borderId="1"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97" fillId="2" borderId="4" xfId="0" applyNumberFormat="1" applyFont="1" applyFill="1" applyBorder="1" applyAlignment="1">
      <alignment horizontal="center" vertical="center" wrapText="1"/>
    </xf>
    <xf numFmtId="0" fontId="97" fillId="2" borderId="5" xfId="0" applyNumberFormat="1" applyFont="1" applyFill="1" applyBorder="1" applyAlignment="1">
      <alignment horizontal="center" vertical="center" wrapText="1"/>
    </xf>
    <xf numFmtId="0" fontId="97" fillId="2" borderId="6" xfId="0" applyNumberFormat="1" applyFont="1" applyFill="1" applyBorder="1" applyAlignment="1">
      <alignment horizontal="center" vertical="center" wrapText="1"/>
    </xf>
    <xf numFmtId="0" fontId="94" fillId="2" borderId="1" xfId="0" applyFont="1" applyFill="1" applyBorder="1" applyAlignment="1">
      <alignment horizontal="center" vertical="center" wrapText="1"/>
    </xf>
    <xf numFmtId="14" fontId="97" fillId="2" borderId="1" xfId="0" applyNumberFormat="1" applyFont="1" applyFill="1" applyBorder="1" applyAlignment="1">
      <alignment horizontal="center" vertical="center" wrapText="1"/>
    </xf>
    <xf numFmtId="0" fontId="98" fillId="2"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97" fillId="0" borderId="1" xfId="0" applyNumberFormat="1" applyFont="1" applyFill="1" applyBorder="1" applyAlignment="1">
      <alignment horizontal="center" vertical="center" wrapText="1"/>
    </xf>
    <xf numFmtId="0" fontId="89" fillId="18" borderId="1" xfId="0" applyNumberFormat="1" applyFont="1" applyFill="1" applyBorder="1" applyAlignment="1">
      <alignment horizontal="center" vertical="center" wrapText="1"/>
    </xf>
    <xf numFmtId="0" fontId="98" fillId="0" borderId="1" xfId="0" applyFont="1" applyFill="1" applyBorder="1" applyAlignment="1">
      <alignment horizontal="center" vertical="top" wrapText="1"/>
    </xf>
    <xf numFmtId="0" fontId="70" fillId="15" borderId="1" xfId="0" applyFont="1" applyFill="1" applyBorder="1" applyAlignment="1">
      <alignment horizontal="center" vertical="center" wrapText="1"/>
    </xf>
    <xf numFmtId="0" fontId="30" fillId="0" borderId="1" xfId="0" applyFont="1" applyFill="1" applyBorder="1" applyAlignment="1">
      <alignment horizontal="center" vertical="top" wrapText="1"/>
    </xf>
    <xf numFmtId="0" fontId="94" fillId="2" borderId="1" xfId="0" applyNumberFormat="1"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70" fillId="18" borderId="1" xfId="0" applyFont="1" applyFill="1" applyBorder="1" applyAlignment="1">
      <alignment horizontal="center" vertical="top" wrapText="1"/>
    </xf>
    <xf numFmtId="0" fontId="70" fillId="18" borderId="1" xfId="0" applyNumberFormat="1" applyFont="1" applyFill="1" applyBorder="1" applyAlignment="1">
      <alignment vertical="center" wrapText="1"/>
    </xf>
    <xf numFmtId="0" fontId="55" fillId="18" borderId="1" xfId="0" applyFont="1" applyFill="1" applyBorder="1" applyAlignment="1">
      <alignment horizontal="center" vertical="center" wrapText="1"/>
    </xf>
    <xf numFmtId="0" fontId="94" fillId="0" borderId="1" xfId="0" applyNumberFormat="1"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4" fillId="2" borderId="1" xfId="0" applyFont="1" applyFill="1" applyBorder="1" applyAlignment="1">
      <alignment horizontal="left" vertical="center" wrapText="1"/>
    </xf>
    <xf numFmtId="0" fontId="94" fillId="0" borderId="1" xfId="0" applyNumberFormat="1" applyFont="1" applyFill="1" applyBorder="1" applyAlignment="1">
      <alignment horizontal="center" vertical="center" wrapText="1"/>
    </xf>
    <xf numFmtId="0" fontId="30" fillId="2" borderId="1" xfId="0" applyFont="1" applyFill="1" applyBorder="1" applyAlignment="1">
      <alignment horizontal="center" vertical="top" wrapText="1"/>
    </xf>
    <xf numFmtId="0" fontId="94" fillId="2" borderId="1" xfId="0" applyFont="1" applyFill="1" applyBorder="1" applyAlignment="1">
      <alignment horizontal="center" vertical="top" wrapText="1"/>
    </xf>
    <xf numFmtId="0" fontId="70" fillId="15" borderId="1" xfId="0" applyFont="1" applyFill="1" applyBorder="1" applyAlignment="1">
      <alignment vertical="center" wrapText="1"/>
    </xf>
    <xf numFmtId="0" fontId="70" fillId="18" borderId="1" xfId="0" applyFont="1" applyFill="1" applyBorder="1" applyAlignment="1">
      <alignment vertical="center" wrapText="1"/>
    </xf>
    <xf numFmtId="0" fontId="30" fillId="2" borderId="4" xfId="0" applyNumberFormat="1" applyFont="1" applyFill="1" applyBorder="1" applyAlignment="1">
      <alignment vertical="center" wrapText="1"/>
    </xf>
    <xf numFmtId="0" fontId="30" fillId="2" borderId="5" xfId="0" applyNumberFormat="1" applyFont="1" applyFill="1" applyBorder="1" applyAlignment="1">
      <alignment vertical="center" wrapText="1"/>
    </xf>
    <xf numFmtId="0" fontId="30" fillId="2" borderId="6" xfId="0" applyNumberFormat="1" applyFont="1" applyFill="1" applyBorder="1" applyAlignment="1">
      <alignment vertical="center" wrapText="1"/>
    </xf>
    <xf numFmtId="0" fontId="94" fillId="0" borderId="4" xfId="0" applyNumberFormat="1" applyFont="1" applyFill="1" applyBorder="1" applyAlignment="1">
      <alignment vertical="center" wrapText="1"/>
    </xf>
    <xf numFmtId="0" fontId="94" fillId="0" borderId="5" xfId="0" applyNumberFormat="1" applyFont="1" applyFill="1" applyBorder="1" applyAlignment="1">
      <alignment vertical="center" wrapText="1"/>
    </xf>
    <xf numFmtId="0" fontId="94" fillId="0" borderId="6" xfId="0" applyNumberFormat="1" applyFont="1" applyFill="1" applyBorder="1" applyAlignment="1">
      <alignment vertical="center" wrapText="1"/>
    </xf>
    <xf numFmtId="0" fontId="94" fillId="2" borderId="4" xfId="0" applyFont="1" applyFill="1" applyBorder="1" applyAlignment="1">
      <alignment horizontal="center" vertical="center" wrapText="1"/>
    </xf>
    <xf numFmtId="0" fontId="94" fillId="2" borderId="5" xfId="0" applyFont="1" applyFill="1" applyBorder="1" applyAlignment="1">
      <alignment horizontal="center" vertical="center" wrapText="1"/>
    </xf>
    <xf numFmtId="0" fontId="94" fillId="2" borderId="6" xfId="0" applyFont="1" applyFill="1" applyBorder="1" applyAlignment="1">
      <alignment horizontal="center" vertical="center" wrapText="1"/>
    </xf>
    <xf numFmtId="0" fontId="89" fillId="2" borderId="1" xfId="0" applyNumberFormat="1" applyFont="1" applyFill="1" applyBorder="1" applyAlignment="1">
      <alignment horizontal="center" vertical="center" wrapText="1"/>
    </xf>
    <xf numFmtId="0" fontId="88" fillId="2" borderId="1" xfId="0" applyFont="1" applyFill="1" applyBorder="1" applyAlignment="1">
      <alignment vertical="center" wrapText="1"/>
    </xf>
    <xf numFmtId="0" fontId="89" fillId="2" borderId="1" xfId="0" applyFont="1" applyFill="1" applyBorder="1" applyAlignment="1">
      <alignment horizontal="center" vertical="center" wrapText="1"/>
    </xf>
    <xf numFmtId="0" fontId="70" fillId="2" borderId="1" xfId="0" applyFont="1" applyFill="1" applyBorder="1" applyAlignment="1">
      <alignment horizontal="center" vertical="center" wrapText="1"/>
    </xf>
    <xf numFmtId="0" fontId="88" fillId="2" borderId="1" xfId="0" applyFont="1" applyFill="1" applyBorder="1" applyAlignment="1">
      <alignment horizontal="center" vertical="center" wrapText="1"/>
    </xf>
    <xf numFmtId="0" fontId="91" fillId="2" borderId="1" xfId="0" applyNumberFormat="1" applyFont="1" applyFill="1" applyBorder="1" applyAlignment="1">
      <alignment horizontal="center" vertical="center" wrapText="1"/>
    </xf>
    <xf numFmtId="0" fontId="92" fillId="2" borderId="1" xfId="0" applyFont="1" applyFill="1" applyBorder="1" applyAlignment="1">
      <alignment vertical="center" wrapText="1"/>
    </xf>
    <xf numFmtId="0" fontId="91" fillId="2" borderId="1" xfId="0" applyFont="1" applyFill="1" applyBorder="1" applyAlignment="1">
      <alignment horizontal="center" vertical="center" wrapText="1"/>
    </xf>
    <xf numFmtId="0" fontId="92" fillId="2" borderId="1" xfId="0" applyFont="1" applyFill="1" applyBorder="1" applyAlignment="1">
      <alignment horizontal="center" vertical="center" wrapText="1"/>
    </xf>
    <xf numFmtId="0" fontId="38" fillId="2" borderId="2" xfId="0" applyNumberFormat="1" applyFont="1" applyFill="1" applyBorder="1" applyAlignment="1">
      <alignment horizontal="center" vertical="center"/>
    </xf>
    <xf numFmtId="0" fontId="88" fillId="2" borderId="13" xfId="0" applyNumberFormat="1" applyFont="1" applyFill="1" applyBorder="1" applyAlignment="1">
      <alignment vertical="center"/>
    </xf>
    <xf numFmtId="0" fontId="38" fillId="2" borderId="13" xfId="0" applyNumberFormat="1" applyFont="1" applyFill="1" applyBorder="1" applyAlignment="1">
      <alignment horizontal="center" vertical="center"/>
    </xf>
    <xf numFmtId="0" fontId="88" fillId="2" borderId="13" xfId="0" applyNumberFormat="1" applyFont="1" applyFill="1" applyBorder="1" applyAlignment="1">
      <alignment horizontal="center" vertical="center"/>
    </xf>
    <xf numFmtId="0" fontId="88" fillId="2" borderId="12" xfId="0" applyNumberFormat="1" applyFont="1" applyFill="1" applyBorder="1" applyAlignment="1">
      <alignment horizontal="center" vertical="center"/>
    </xf>
    <xf numFmtId="0" fontId="38" fillId="2" borderId="3" xfId="0" applyNumberFormat="1" applyFont="1" applyFill="1" applyBorder="1" applyAlignment="1">
      <alignment horizontal="center" vertical="center"/>
    </xf>
    <xf numFmtId="0" fontId="88" fillId="2" borderId="8" xfId="0" applyNumberFormat="1" applyFont="1" applyFill="1" applyBorder="1" applyAlignment="1">
      <alignment vertical="center"/>
    </xf>
    <xf numFmtId="0" fontId="38" fillId="2" borderId="8" xfId="0" applyNumberFormat="1" applyFont="1" applyFill="1" applyBorder="1" applyAlignment="1">
      <alignment horizontal="center" vertical="center"/>
    </xf>
    <xf numFmtId="0" fontId="88" fillId="2" borderId="8" xfId="0" applyNumberFormat="1" applyFont="1" applyFill="1" applyBorder="1" applyAlignment="1">
      <alignment horizontal="center" vertical="center"/>
    </xf>
    <xf numFmtId="0" fontId="88" fillId="2" borderId="14" xfId="0" applyNumberFormat="1" applyFont="1" applyFill="1" applyBorder="1" applyAlignment="1">
      <alignment horizontal="center" vertical="center"/>
    </xf>
    <xf numFmtId="0" fontId="5" fillId="2" borderId="6" xfId="0" applyFont="1" applyFill="1" applyBorder="1" applyAlignment="1">
      <alignment vertical="center" wrapText="1"/>
    </xf>
    <xf numFmtId="0" fontId="5" fillId="2" borderId="1" xfId="0" applyFont="1" applyFill="1" applyBorder="1" applyAlignment="1">
      <alignment vertical="center" wrapText="1"/>
    </xf>
    <xf numFmtId="0" fontId="89" fillId="6" borderId="1" xfId="0" applyNumberFormat="1" applyFont="1" applyFill="1" applyBorder="1" applyAlignment="1">
      <alignment horizontal="center" vertical="center" wrapText="1"/>
    </xf>
    <xf numFmtId="0" fontId="88" fillId="6" borderId="1" xfId="0" applyFont="1" applyFill="1" applyBorder="1" applyAlignment="1">
      <alignment vertical="center" wrapText="1"/>
    </xf>
    <xf numFmtId="0" fontId="89" fillId="6" borderId="1"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88" fillId="6" borderId="1" xfId="0" applyFont="1" applyFill="1" applyBorder="1" applyAlignment="1">
      <alignment horizontal="center" vertical="center" wrapText="1"/>
    </xf>
    <xf numFmtId="49" fontId="37" fillId="20" borderId="4" xfId="8" applyNumberFormat="1" applyFont="1" applyFill="1" applyBorder="1" applyAlignment="1">
      <alignment horizontal="right" vertical="top"/>
    </xf>
    <xf numFmtId="49" fontId="37" fillId="20" borderId="5" xfId="8" applyNumberFormat="1" applyFont="1" applyFill="1" applyBorder="1" applyAlignment="1">
      <alignment horizontal="right" vertical="top"/>
    </xf>
    <xf numFmtId="0" fontId="64" fillId="2" borderId="0" xfId="0" applyFont="1" applyFill="1" applyAlignment="1">
      <alignment horizontal="center" wrapText="1"/>
    </xf>
    <xf numFmtId="0" fontId="60" fillId="2" borderId="0" xfId="0" applyFont="1" applyFill="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8" fillId="0" borderId="1" xfId="0" applyFont="1" applyBorder="1" applyAlignment="1">
      <alignmen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left" vertical="top" wrapText="1"/>
    </xf>
    <xf numFmtId="165" fontId="5"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165" fontId="5" fillId="2" borderId="4" xfId="0"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65" fontId="5" fillId="0" borderId="1"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110" fillId="0" borderId="8" xfId="0" applyNumberFormat="1" applyFont="1" applyBorder="1" applyAlignment="1">
      <alignment horizontal="center" vertical="center"/>
    </xf>
    <xf numFmtId="0" fontId="0" fillId="0" borderId="8" xfId="0" applyBorder="1" applyAlignment="1">
      <alignment vertical="center"/>
    </xf>
    <xf numFmtId="0" fontId="32" fillId="0"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7" fillId="2" borderId="0" xfId="0" applyFont="1" applyFill="1" applyAlignment="1">
      <alignment horizontal="center" wrapText="1"/>
    </xf>
    <xf numFmtId="0" fontId="40" fillId="0" borderId="0" xfId="0" applyNumberFormat="1" applyFont="1" applyFill="1" applyAlignment="1">
      <alignment horizontal="center"/>
    </xf>
    <xf numFmtId="0" fontId="40" fillId="0" borderId="0" xfId="0" applyFont="1" applyFill="1" applyAlignment="1">
      <alignment horizontal="center"/>
    </xf>
    <xf numFmtId="0" fontId="40" fillId="0" borderId="0" xfId="0" applyFont="1" applyFill="1" applyAlignment="1">
      <alignment horizontal="center" vertical="center"/>
    </xf>
    <xf numFmtId="0" fontId="40" fillId="0" borderId="0" xfId="0" applyFont="1" applyFill="1" applyAlignment="1">
      <alignment horizontal="left" vertical="center"/>
    </xf>
    <xf numFmtId="0" fontId="88" fillId="0" borderId="0" xfId="0" applyNumberFormat="1" applyFont="1" applyFill="1" applyAlignment="1">
      <alignment horizontal="center" wrapText="1"/>
    </xf>
    <xf numFmtId="0" fontId="30" fillId="0" borderId="1" xfId="0" applyNumberFormat="1"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 xfId="0" applyFont="1" applyFill="1" applyBorder="1" applyAlignment="1">
      <alignment horizontal="left" vertical="center" wrapText="1"/>
    </xf>
    <xf numFmtId="2" fontId="0" fillId="0" borderId="1" xfId="0" applyNumberFormat="1" applyFill="1" applyBorder="1"/>
    <xf numFmtId="0" fontId="30" fillId="0" borderId="1" xfId="0" applyFont="1" applyFill="1" applyBorder="1" applyAlignment="1">
      <alignment vertical="top"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1" xfId="0" applyFont="1" applyFill="1" applyBorder="1" applyAlignment="1">
      <alignment horizontal="center" vertical="center"/>
    </xf>
    <xf numFmtId="16" fontId="30" fillId="0" borderId="1" xfId="0" applyNumberFormat="1" applyFont="1" applyFill="1" applyBorder="1" applyAlignment="1">
      <alignment horizontal="center" vertical="center" wrapText="1"/>
    </xf>
    <xf numFmtId="2" fontId="30" fillId="0" borderId="11" xfId="0" applyNumberFormat="1" applyFont="1" applyFill="1" applyBorder="1" applyAlignment="1">
      <alignment horizontal="center" vertical="center" wrapText="1"/>
    </xf>
    <xf numFmtId="0" fontId="30" fillId="0" borderId="1" xfId="0" applyFont="1" applyFill="1" applyBorder="1" applyAlignment="1">
      <alignment horizontal="left" vertical="top" wrapText="1"/>
    </xf>
    <xf numFmtId="0" fontId="31" fillId="0" borderId="11" xfId="0" applyFont="1" applyFill="1" applyBorder="1" applyAlignment="1">
      <alignment horizontal="center" vertical="center" wrapText="1"/>
    </xf>
    <xf numFmtId="166" fontId="30" fillId="0" borderId="14" xfId="0" applyNumberFormat="1" applyFont="1" applyFill="1" applyBorder="1" applyAlignment="1">
      <alignment horizontal="center" vertical="center" wrapText="1"/>
    </xf>
    <xf numFmtId="0" fontId="30" fillId="0" borderId="8" xfId="0" applyFont="1" applyFill="1" applyBorder="1" applyAlignment="1">
      <alignment horizontal="center" vertical="center"/>
    </xf>
    <xf numFmtId="2" fontId="30" fillId="0" borderId="1" xfId="0" applyNumberFormat="1" applyFont="1" applyFill="1" applyBorder="1" applyAlignment="1">
      <alignment horizontal="center" vertical="center" wrapText="1"/>
    </xf>
    <xf numFmtId="1" fontId="30" fillId="0" borderId="11" xfId="0" applyNumberFormat="1" applyFont="1" applyFill="1" applyBorder="1" applyAlignment="1">
      <alignment horizontal="center" vertical="center" wrapText="1"/>
    </xf>
    <xf numFmtId="0" fontId="30" fillId="0" borderId="1" xfId="0" applyFont="1" applyFill="1" applyBorder="1" applyAlignment="1">
      <alignment vertical="center"/>
    </xf>
    <xf numFmtId="0" fontId="30" fillId="0" borderId="6" xfId="0" applyFont="1" applyFill="1" applyBorder="1" applyAlignment="1">
      <alignment vertical="center" wrapText="1"/>
    </xf>
    <xf numFmtId="0" fontId="40" fillId="0" borderId="0" xfId="0" applyFont="1" applyFill="1" applyAlignment="1">
      <alignment vertical="center"/>
    </xf>
    <xf numFmtId="0" fontId="109" fillId="0" borderId="0" xfId="0" applyFont="1" applyFill="1" applyAlignment="1">
      <alignment horizontal="center"/>
    </xf>
    <xf numFmtId="0" fontId="109" fillId="0" borderId="0" xfId="0" applyFont="1" applyFill="1" applyAlignment="1">
      <alignment horizontal="left" vertical="center"/>
    </xf>
    <xf numFmtId="0" fontId="1"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166" fontId="5" fillId="0" borderId="1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7" fillId="0" borderId="4" xfId="0" applyFont="1" applyFill="1" applyBorder="1" applyAlignment="1">
      <alignment horizontal="left" vertical="center" wrapText="1"/>
    </xf>
    <xf numFmtId="4" fontId="20" fillId="0" borderId="1" xfId="1" applyNumberFormat="1" applyFont="1" applyFill="1" applyBorder="1" applyAlignment="1">
      <alignment horizontal="right" vertical="center" wrapText="1"/>
    </xf>
    <xf numFmtId="167" fontId="22" fillId="0" borderId="11" xfId="1" applyNumberFormat="1" applyFont="1" applyFill="1" applyBorder="1" applyAlignment="1">
      <alignment vertical="center" wrapText="1"/>
    </xf>
    <xf numFmtId="0" fontId="17" fillId="0" borderId="2" xfId="0" applyFont="1" applyFill="1" applyBorder="1" applyAlignment="1">
      <alignment horizontal="center"/>
    </xf>
    <xf numFmtId="0" fontId="27" fillId="0" borderId="1" xfId="0" applyFont="1" applyFill="1" applyBorder="1" applyAlignment="1">
      <alignment horizontal="left" vertical="top" wrapText="1"/>
    </xf>
    <xf numFmtId="0" fontId="36" fillId="0" borderId="1" xfId="0" applyFont="1" applyFill="1" applyBorder="1" applyAlignment="1">
      <alignment horizontal="center" vertical="top" wrapText="1"/>
    </xf>
    <xf numFmtId="0" fontId="0" fillId="0" borderId="4" xfId="0" applyFont="1" applyFill="1" applyBorder="1" applyAlignment="1">
      <alignment horizontal="center" vertical="center"/>
    </xf>
    <xf numFmtId="0" fontId="17" fillId="0" borderId="5" xfId="0" applyFont="1" applyFill="1" applyBorder="1" applyAlignment="1">
      <alignment horizontal="left" vertical="center" wrapText="1"/>
    </xf>
    <xf numFmtId="0" fontId="17" fillId="0" borderId="7" xfId="0" applyFont="1" applyFill="1" applyBorder="1" applyAlignment="1">
      <alignment horizontal="center"/>
    </xf>
    <xf numFmtId="0" fontId="0" fillId="0" borderId="5" xfId="0"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4" fontId="17" fillId="0" borderId="1" xfId="1" applyNumberFormat="1" applyFont="1" applyFill="1" applyBorder="1" applyAlignment="1">
      <alignment horizontal="right" vertical="center" wrapText="1"/>
    </xf>
    <xf numFmtId="0" fontId="17" fillId="0" borderId="3" xfId="0" applyFont="1" applyFill="1" applyBorder="1" applyAlignment="1">
      <alignment horizontal="center"/>
    </xf>
    <xf numFmtId="167" fontId="36" fillId="0" borderId="4" xfId="0" applyNumberFormat="1" applyFont="1" applyFill="1" applyBorder="1" applyAlignment="1">
      <alignment horizontal="center" vertical="top" wrapText="1"/>
    </xf>
    <xf numFmtId="0" fontId="0" fillId="0" borderId="6" xfId="0" applyFont="1" applyFill="1" applyBorder="1" applyAlignment="1">
      <alignment horizontal="center" vertical="center"/>
    </xf>
    <xf numFmtId="4" fontId="29" fillId="0" borderId="1" xfId="1" applyNumberFormat="1" applyFont="1" applyFill="1" applyBorder="1" applyAlignment="1">
      <alignment horizontal="right" vertical="center" wrapText="1"/>
    </xf>
    <xf numFmtId="0" fontId="36" fillId="0" borderId="1" xfId="0" applyNumberFormat="1" applyFont="1" applyFill="1" applyBorder="1" applyAlignment="1">
      <alignment horizontal="center" vertical="top" wrapText="1"/>
    </xf>
    <xf numFmtId="167" fontId="36" fillId="0" borderId="1" xfId="0" applyNumberFormat="1" applyFont="1" applyFill="1" applyBorder="1" applyAlignment="1">
      <alignment horizontal="center" vertical="top" wrapText="1"/>
    </xf>
    <xf numFmtId="0" fontId="36" fillId="0" borderId="4"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9" xfId="0" applyFont="1" applyFill="1" applyBorder="1" applyAlignment="1">
      <alignment horizontal="center" vertical="center" wrapText="1"/>
    </xf>
    <xf numFmtId="167" fontId="29" fillId="0" borderId="11" xfId="1" applyNumberFormat="1" applyFont="1" applyFill="1" applyBorder="1" applyAlignment="1">
      <alignment vertical="center" wrapText="1"/>
    </xf>
    <xf numFmtId="0" fontId="36" fillId="0" borderId="5" xfId="0" applyNumberFormat="1" applyFont="1" applyFill="1" applyBorder="1" applyAlignment="1">
      <alignment horizontal="center" vertical="center" wrapText="1"/>
    </xf>
    <xf numFmtId="0" fontId="20" fillId="0" borderId="5" xfId="0" applyFont="1" applyFill="1" applyBorder="1" applyAlignment="1">
      <alignment horizontal="left" vertical="center" wrapText="1"/>
    </xf>
    <xf numFmtId="4" fontId="20" fillId="0" borderId="1" xfId="1" applyNumberFormat="1" applyFont="1" applyFill="1" applyBorder="1" applyAlignment="1">
      <alignment vertical="center" wrapText="1"/>
    </xf>
    <xf numFmtId="0" fontId="36" fillId="0" borderId="6" xfId="0" applyNumberFormat="1" applyFont="1" applyFill="1" applyBorder="1" applyAlignment="1">
      <alignment horizontal="center" vertical="center" wrapText="1"/>
    </xf>
    <xf numFmtId="0" fontId="20" fillId="0" borderId="6" xfId="0" applyFont="1" applyFill="1" applyBorder="1" applyAlignment="1">
      <alignment horizontal="left" vertical="center" wrapText="1"/>
    </xf>
    <xf numFmtId="0" fontId="27" fillId="0" borderId="4" xfId="0" applyNumberFormat="1"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9" xfId="0" applyFont="1" applyFill="1" applyBorder="1" applyAlignment="1">
      <alignment horizontal="center" vertical="center" wrapText="1"/>
    </xf>
    <xf numFmtId="4" fontId="105" fillId="0" borderId="1" xfId="1" applyNumberFormat="1" applyFont="1" applyFill="1" applyBorder="1" applyAlignment="1">
      <alignment horizontal="right" vertical="center" wrapText="1"/>
    </xf>
    <xf numFmtId="167" fontId="105" fillId="0" borderId="11" xfId="1" applyNumberFormat="1" applyFont="1" applyFill="1" applyBorder="1" applyAlignment="1">
      <alignment vertical="center" wrapText="1"/>
    </xf>
    <xf numFmtId="0" fontId="32" fillId="0" borderId="2" xfId="0" applyFont="1" applyFill="1" applyBorder="1" applyAlignment="1">
      <alignment horizontal="center"/>
    </xf>
    <xf numFmtId="1" fontId="27" fillId="0" borderId="1" xfId="0" applyNumberFormat="1" applyFont="1" applyFill="1" applyBorder="1" applyAlignment="1">
      <alignment horizontal="center" vertical="top" wrapText="1"/>
    </xf>
    <xf numFmtId="0" fontId="32" fillId="0" borderId="4"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27" fillId="0" borderId="5" xfId="0" applyNumberFormat="1" applyFont="1" applyFill="1" applyBorder="1" applyAlignment="1">
      <alignment horizontal="center" vertical="center" wrapText="1"/>
    </xf>
    <xf numFmtId="0" fontId="32" fillId="0" borderId="5" xfId="0" applyFont="1" applyFill="1" applyBorder="1" applyAlignment="1">
      <alignment horizontal="left" vertical="center" wrapText="1"/>
    </xf>
    <xf numFmtId="4" fontId="32" fillId="0" borderId="1" xfId="1" applyNumberFormat="1" applyFont="1" applyFill="1" applyBorder="1" applyAlignment="1">
      <alignment horizontal="right" vertical="center" wrapText="1"/>
    </xf>
    <xf numFmtId="0" fontId="32" fillId="0" borderId="7" xfId="0" applyFont="1" applyFill="1" applyBorder="1" applyAlignment="1">
      <alignment horizontal="center"/>
    </xf>
    <xf numFmtId="0" fontId="27" fillId="0" borderId="1" xfId="0" applyFont="1" applyFill="1" applyBorder="1" applyAlignment="1">
      <alignment horizontal="center" vertical="top" wrapText="1"/>
    </xf>
    <xf numFmtId="0" fontId="32" fillId="0" borderId="5"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32" fillId="0" borderId="6" xfId="0" applyFont="1" applyFill="1" applyBorder="1" applyAlignment="1">
      <alignment horizontal="left" vertical="center" wrapText="1"/>
    </xf>
    <xf numFmtId="0" fontId="27" fillId="0" borderId="4" xfId="0" applyFont="1" applyFill="1" applyBorder="1" applyAlignment="1">
      <alignment horizontal="left" vertical="top" wrapText="1"/>
    </xf>
    <xf numFmtId="167" fontId="27" fillId="0" borderId="4" xfId="0" applyNumberFormat="1" applyFont="1" applyFill="1" applyBorder="1" applyAlignment="1">
      <alignment horizontal="center" vertical="top" wrapText="1"/>
    </xf>
    <xf numFmtId="0" fontId="20"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4" fontId="20" fillId="0" borderId="1" xfId="0" applyNumberFormat="1" applyFont="1" applyFill="1" applyBorder="1" applyAlignment="1">
      <alignment vertical="center" wrapText="1"/>
    </xf>
    <xf numFmtId="0" fontId="8" fillId="0" borderId="5" xfId="0" applyFont="1" applyFill="1" applyBorder="1" applyAlignment="1">
      <alignment horizontal="center" vertical="center" wrapText="1"/>
    </xf>
    <xf numFmtId="0" fontId="20" fillId="0" borderId="6"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22" fillId="0" borderId="9" xfId="0" applyFont="1" applyFill="1" applyBorder="1" applyAlignment="1">
      <alignment horizontal="center" vertical="center" wrapText="1"/>
    </xf>
    <xf numFmtId="4" fontId="22" fillId="0" borderId="1" xfId="0" applyNumberFormat="1" applyFont="1" applyFill="1" applyBorder="1" applyAlignment="1">
      <alignment vertical="center" wrapText="1"/>
    </xf>
    <xf numFmtId="0" fontId="17" fillId="0" borderId="4" xfId="0" applyFont="1" applyFill="1" applyBorder="1" applyAlignment="1">
      <alignment vertical="center" wrapText="1"/>
    </xf>
    <xf numFmtId="0" fontId="32" fillId="0" borderId="4" xfId="0" applyFont="1" applyFill="1" applyBorder="1" applyAlignment="1">
      <alignment vertical="center" wrapText="1"/>
    </xf>
    <xf numFmtId="167" fontId="32"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63" fillId="0" borderId="5" xfId="0" applyFont="1" applyFill="1" applyBorder="1" applyAlignment="1">
      <alignment horizontal="center" vertical="center" wrapText="1"/>
    </xf>
    <xf numFmtId="0" fontId="0" fillId="0" borderId="5" xfId="0" applyFill="1" applyBorder="1" applyAlignment="1">
      <alignment horizontal="left" vertical="center" wrapText="1"/>
    </xf>
    <xf numFmtId="4" fontId="17" fillId="0" borderId="1" xfId="0" applyNumberFormat="1" applyFont="1" applyFill="1" applyBorder="1" applyAlignment="1">
      <alignmen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63"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4" fontId="17" fillId="0" borderId="4" xfId="0" applyNumberFormat="1" applyFont="1" applyFill="1" applyBorder="1" applyAlignment="1">
      <alignment vertical="center" wrapText="1"/>
    </xf>
    <xf numFmtId="167" fontId="22" fillId="0" borderId="12" xfId="1"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center" vertical="center"/>
    </xf>
    <xf numFmtId="4" fontId="22" fillId="0" borderId="4" xfId="0" applyNumberFormat="1" applyFont="1" applyFill="1" applyBorder="1" applyAlignment="1">
      <alignment vertical="center" wrapText="1"/>
    </xf>
    <xf numFmtId="0" fontId="17" fillId="0" borderId="4" xfId="0" applyFont="1" applyFill="1" applyBorder="1" applyAlignment="1">
      <alignment vertical="center" wrapText="1" shrinkToFit="1"/>
    </xf>
    <xf numFmtId="0" fontId="0" fillId="0" borderId="5" xfId="0" applyFill="1" applyBorder="1" applyAlignment="1">
      <alignment vertical="center" wrapText="1"/>
    </xf>
    <xf numFmtId="0" fontId="0" fillId="0" borderId="5" xfId="0" applyFont="1" applyFill="1" applyBorder="1" applyAlignment="1">
      <alignment vertical="center" wrapText="1" shrinkToFit="1"/>
    </xf>
    <xf numFmtId="0" fontId="0" fillId="0" borderId="6" xfId="0" applyFill="1" applyBorder="1" applyAlignment="1">
      <alignment vertical="center" wrapText="1"/>
    </xf>
    <xf numFmtId="0" fontId="0" fillId="0" borderId="6" xfId="0" applyFont="1" applyFill="1" applyBorder="1" applyAlignment="1">
      <alignment vertical="center" wrapText="1" shrinkToFit="1"/>
    </xf>
    <xf numFmtId="4" fontId="22" fillId="0" borderId="1" xfId="1" applyNumberFormat="1" applyFont="1" applyFill="1" applyBorder="1" applyAlignment="1">
      <alignment horizontal="right"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center" vertical="center" wrapText="1"/>
    </xf>
    <xf numFmtId="4" fontId="17" fillId="0" borderId="1" xfId="1" applyNumberFormat="1" applyFont="1" applyFill="1" applyBorder="1" applyAlignment="1">
      <alignment vertical="center" wrapText="1"/>
    </xf>
    <xf numFmtId="0" fontId="20" fillId="0" borderId="5" xfId="0" applyFont="1" applyFill="1" applyBorder="1" applyAlignment="1">
      <alignment vertical="center" wrapText="1"/>
    </xf>
    <xf numFmtId="0" fontId="17" fillId="0" borderId="5" xfId="0" applyFont="1" applyFill="1" applyBorder="1" applyAlignment="1">
      <alignmen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vertical="center" wrapText="1"/>
    </xf>
    <xf numFmtId="0" fontId="17" fillId="0" borderId="6" xfId="0" applyFont="1" applyFill="1" applyBorder="1" applyAlignment="1">
      <alignment vertical="center" wrapText="1"/>
    </xf>
    <xf numFmtId="0" fontId="29" fillId="0" borderId="9" xfId="0" applyFont="1" applyFill="1" applyBorder="1" applyAlignment="1">
      <alignment horizontal="center" vertical="center" wrapText="1"/>
    </xf>
    <xf numFmtId="4" fontId="22" fillId="0" borderId="1" xfId="1" applyNumberFormat="1" applyFont="1"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20" fillId="0" borderId="6" xfId="0" applyFont="1" applyFill="1" applyBorder="1" applyAlignment="1">
      <alignment horizontal="center" vertical="center" wrapText="1"/>
    </xf>
    <xf numFmtId="0" fontId="17" fillId="0" borderId="6" xfId="0" applyFont="1" applyFill="1" applyBorder="1" applyAlignment="1">
      <alignment vertical="center" wrapText="1"/>
    </xf>
    <xf numFmtId="49" fontId="36"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5" xfId="0" applyFont="1" applyFill="1" applyBorder="1" applyAlignment="1">
      <alignment vertical="center" wrapText="1"/>
    </xf>
    <xf numFmtId="49" fontId="36" fillId="0" borderId="5" xfId="0" applyNumberFormat="1" applyFont="1" applyFill="1" applyBorder="1" applyAlignment="1">
      <alignment horizontal="center" vertical="center" wrapText="1"/>
    </xf>
    <xf numFmtId="0" fontId="106" fillId="0" borderId="1" xfId="0" applyFont="1" applyFill="1" applyBorder="1" applyAlignment="1">
      <alignment horizontal="left" vertical="center" wrapText="1"/>
    </xf>
    <xf numFmtId="49" fontId="36" fillId="0" borderId="6" xfId="0" applyNumberFormat="1"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6" xfId="0" applyFont="1" applyFill="1" applyBorder="1" applyAlignment="1">
      <alignment vertical="center" wrapText="1"/>
    </xf>
    <xf numFmtId="0" fontId="22" fillId="0" borderId="4" xfId="0" applyNumberFormat="1" applyFont="1" applyFill="1" applyBorder="1" applyAlignment="1">
      <alignment horizontal="left" vertical="center" wrapText="1"/>
    </xf>
    <xf numFmtId="0" fontId="17" fillId="0" borderId="2" xfId="0" applyFont="1" applyFill="1" applyBorder="1" applyAlignment="1">
      <alignment horizontal="center" wrapText="1"/>
    </xf>
    <xf numFmtId="0" fontId="22" fillId="0" borderId="5" xfId="0" applyNumberFormat="1" applyFont="1" applyFill="1" applyBorder="1" applyAlignment="1">
      <alignment horizontal="left" vertical="center" wrapText="1"/>
    </xf>
    <xf numFmtId="0" fontId="17" fillId="0" borderId="7" xfId="0" applyFont="1" applyFill="1" applyBorder="1" applyAlignment="1">
      <alignment horizontal="center" wrapText="1"/>
    </xf>
    <xf numFmtId="0" fontId="22" fillId="0" borderId="6" xfId="0" applyNumberFormat="1" applyFont="1" applyFill="1" applyBorder="1" applyAlignment="1">
      <alignment horizontal="left" vertical="center" wrapText="1"/>
    </xf>
    <xf numFmtId="0" fontId="17" fillId="0" borderId="3" xfId="0" applyFont="1" applyFill="1" applyBorder="1" applyAlignment="1">
      <alignment horizontal="center" wrapText="1"/>
    </xf>
    <xf numFmtId="167" fontId="27" fillId="0" borderId="1" xfId="0" applyNumberFormat="1" applyFont="1" applyFill="1" applyBorder="1" applyAlignment="1">
      <alignment horizontal="center" vertical="top" wrapText="1"/>
    </xf>
    <xf numFmtId="0" fontId="20" fillId="0" borderId="4" xfId="0" applyNumberFormat="1" applyFont="1" applyFill="1" applyBorder="1" applyAlignment="1">
      <alignment horizontal="center" vertical="center" wrapText="1"/>
    </xf>
    <xf numFmtId="167" fontId="17" fillId="0" borderId="4"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4" fontId="17" fillId="0" borderId="1" xfId="0" applyNumberFormat="1" applyFont="1" applyFill="1" applyBorder="1" applyAlignment="1">
      <alignment horizontal="right" vertical="center" wrapText="1"/>
    </xf>
    <xf numFmtId="167" fontId="17" fillId="0" borderId="5"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167" fontId="17" fillId="0" borderId="6"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10" fontId="22" fillId="0" borderId="11" xfId="10" applyNumberFormat="1" applyFont="1" applyFill="1" applyBorder="1" applyAlignment="1">
      <alignment horizontal="right" vertical="center" wrapText="1"/>
    </xf>
    <xf numFmtId="0" fontId="10" fillId="0" borderId="4" xfId="0" applyFont="1" applyFill="1" applyBorder="1" applyAlignment="1">
      <alignment vertical="center" wrapText="1"/>
    </xf>
    <xf numFmtId="49" fontId="17" fillId="0" borderId="4"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0" fillId="0" borderId="5" xfId="0" applyFont="1" applyFill="1" applyBorder="1" applyAlignment="1">
      <alignment vertical="center" wrapText="1"/>
    </xf>
    <xf numFmtId="49"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6" xfId="0" applyFont="1" applyFill="1" applyBorder="1" applyAlignment="1">
      <alignment vertical="center" wrapText="1"/>
    </xf>
    <xf numFmtId="49" fontId="17" fillId="0" borderId="6" xfId="0" applyNumberFormat="1" applyFont="1" applyFill="1" applyBorder="1" applyAlignment="1">
      <alignment horizontal="center" vertical="center" wrapText="1"/>
    </xf>
    <xf numFmtId="9" fontId="22" fillId="0" borderId="11" xfId="10" applyFont="1" applyFill="1" applyBorder="1" applyAlignment="1">
      <alignment horizontal="right" vertical="center" wrapText="1"/>
    </xf>
    <xf numFmtId="0" fontId="10"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23" fillId="0" borderId="5" xfId="0" applyFont="1" applyFill="1" applyBorder="1" applyAlignment="1">
      <alignment horizontal="center" vertical="center" wrapText="1"/>
    </xf>
    <xf numFmtId="0" fontId="8" fillId="0" borderId="5" xfId="0" applyFont="1" applyFill="1" applyBorder="1" applyAlignment="1">
      <alignment vertical="center" wrapText="1"/>
    </xf>
    <xf numFmtId="4" fontId="22" fillId="0" borderId="11" xfId="1" applyNumberFormat="1" applyFont="1" applyFill="1" applyBorder="1" applyAlignment="1">
      <alignment horizontal="right" vertical="center" wrapText="1"/>
    </xf>
    <xf numFmtId="0" fontId="23" fillId="0" borderId="6" xfId="0" applyFont="1" applyFill="1" applyBorder="1" applyAlignment="1">
      <alignment horizontal="center" vertical="center" wrapText="1"/>
    </xf>
    <xf numFmtId="0" fontId="8" fillId="0" borderId="6" xfId="0" applyFont="1" applyFill="1" applyBorder="1" applyAlignment="1">
      <alignment vertical="center" wrapText="1"/>
    </xf>
    <xf numFmtId="49" fontId="27" fillId="0" borderId="1"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 fontId="32" fillId="0" borderId="1" xfId="0" applyNumberFormat="1" applyFont="1" applyFill="1" applyBorder="1" applyAlignment="1">
      <alignment horizontal="right" vertical="center" wrapText="1"/>
    </xf>
    <xf numFmtId="9" fontId="105" fillId="0" borderId="1" xfId="10" applyFont="1" applyFill="1" applyBorder="1" applyAlignment="1">
      <alignment horizontal="right" vertical="center" wrapText="1"/>
    </xf>
    <xf numFmtId="49" fontId="32"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49" fontId="32"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49" fontId="27"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10" fontId="105" fillId="0" borderId="1" xfId="10" applyNumberFormat="1" applyFont="1" applyFill="1" applyBorder="1" applyAlignment="1">
      <alignment horizontal="right" vertical="center" wrapText="1"/>
    </xf>
    <xf numFmtId="0" fontId="0" fillId="0" borderId="1" xfId="0" applyFill="1" applyBorder="1" applyAlignment="1">
      <alignment horizontal="center" vertical="center" wrapText="1"/>
    </xf>
    <xf numFmtId="0" fontId="17" fillId="0" borderId="4" xfId="0" applyNumberFormat="1" applyFont="1" applyFill="1" applyBorder="1" applyAlignment="1">
      <alignment horizontal="left" vertical="top" wrapText="1"/>
    </xf>
    <xf numFmtId="0" fontId="8" fillId="0" borderId="1" xfId="0" applyFont="1" applyFill="1" applyBorder="1" applyAlignment="1">
      <alignment horizontal="left" vertical="center" wrapText="1"/>
    </xf>
    <xf numFmtId="0" fontId="17" fillId="0" borderId="5" xfId="0" applyNumberFormat="1" applyFont="1" applyFill="1" applyBorder="1" applyAlignment="1">
      <alignment horizontal="left" vertical="top" wrapText="1"/>
    </xf>
    <xf numFmtId="0" fontId="17" fillId="0" borderId="6" xfId="0" applyNumberFormat="1" applyFont="1" applyFill="1" applyBorder="1" applyAlignment="1">
      <alignment horizontal="left" vertical="top" wrapText="1"/>
    </xf>
    <xf numFmtId="0" fontId="17" fillId="0" borderId="5" xfId="0" applyNumberFormat="1"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17" fillId="0" borderId="6"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14" fontId="1"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1" xfId="0" applyNumberFormat="1" applyFont="1" applyFill="1" applyBorder="1" applyAlignment="1">
      <alignment horizontal="right" vertical="center" wrapText="1"/>
    </xf>
    <xf numFmtId="0" fontId="38" fillId="0" borderId="4" xfId="0" applyNumberFormat="1" applyFont="1" applyFill="1" applyBorder="1" applyAlignment="1">
      <alignment horizontal="center" vertical="center" wrapText="1"/>
    </xf>
    <xf numFmtId="0" fontId="38" fillId="0" borderId="5" xfId="0" applyNumberFormat="1" applyFont="1" applyFill="1" applyBorder="1" applyAlignment="1">
      <alignment horizontal="center" vertical="center" wrapText="1"/>
    </xf>
    <xf numFmtId="0" fontId="38" fillId="0" borderId="6" xfId="0" applyNumberFormat="1" applyFont="1" applyFill="1" applyBorder="1" applyAlignment="1">
      <alignment horizontal="center" vertical="center" wrapText="1"/>
    </xf>
    <xf numFmtId="4" fontId="0" fillId="0" borderId="1" xfId="0" applyNumberFormat="1" applyFont="1" applyFill="1" applyBorder="1" applyAlignment="1">
      <alignment vertical="center" wrapText="1"/>
    </xf>
    <xf numFmtId="4" fontId="20" fillId="0" borderId="1" xfId="0" applyNumberFormat="1" applyFont="1" applyFill="1" applyBorder="1" applyAlignment="1">
      <alignment horizontal="right" vertical="top" wrapText="1"/>
    </xf>
    <xf numFmtId="167" fontId="29" fillId="0" borderId="1" xfId="0" applyNumberFormat="1" applyFont="1" applyFill="1" applyBorder="1" applyAlignment="1">
      <alignment horizontal="right" vertical="top" wrapText="1"/>
    </xf>
    <xf numFmtId="0" fontId="17" fillId="0" borderId="1" xfId="0" applyFont="1" applyFill="1" applyBorder="1" applyAlignment="1">
      <alignment horizontal="left" vertical="center" wrapText="1"/>
    </xf>
    <xf numFmtId="165" fontId="17"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right" vertical="top" wrapText="1"/>
    </xf>
    <xf numFmtId="0" fontId="0" fillId="0" borderId="1" xfId="0" applyFont="1" applyFill="1" applyBorder="1" applyAlignment="1">
      <alignment horizontal="center" vertical="center"/>
    </xf>
    <xf numFmtId="167" fontId="29" fillId="0" borderId="1" xfId="0" applyNumberFormat="1" applyFont="1" applyFill="1" applyBorder="1" applyAlignment="1">
      <alignment horizontal="right" vertical="center" wrapText="1"/>
    </xf>
    <xf numFmtId="167" fontId="29" fillId="0" borderId="11" xfId="1" applyNumberFormat="1" applyFont="1" applyFill="1" applyBorder="1" applyAlignment="1">
      <alignment horizontal="right" vertical="center" wrapText="1"/>
    </xf>
    <xf numFmtId="0" fontId="8" fillId="0" borderId="5" xfId="0" applyFont="1" applyFill="1" applyBorder="1" applyAlignment="1">
      <alignment horizontal="left" vertical="center" wrapText="1"/>
    </xf>
    <xf numFmtId="165" fontId="17" fillId="0" borderId="1" xfId="0" applyNumberFormat="1" applyFont="1" applyFill="1" applyBorder="1" applyAlignment="1">
      <alignment horizontal="center" vertical="center" wrapText="1"/>
    </xf>
    <xf numFmtId="167" fontId="22" fillId="0" borderId="11" xfId="1" applyNumberFormat="1" applyFont="1" applyFill="1" applyBorder="1" applyAlignment="1">
      <alignment horizontal="right" vertical="center" wrapText="1"/>
    </xf>
    <xf numFmtId="0" fontId="8" fillId="0" borderId="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0" fillId="0" borderId="4" xfId="4"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0" fontId="60" fillId="0" borderId="4" xfId="4" applyFont="1" applyFill="1" applyBorder="1" applyAlignment="1">
      <alignment horizontal="left" vertical="center" wrapText="1"/>
    </xf>
    <xf numFmtId="0" fontId="60" fillId="0" borderId="5" xfId="4" applyFont="1" applyFill="1" applyBorder="1" applyAlignment="1">
      <alignment horizontal="center" vertical="center" wrapText="1"/>
    </xf>
    <xf numFmtId="167" fontId="8" fillId="0" borderId="5" xfId="0" applyNumberFormat="1" applyFont="1" applyFill="1" applyBorder="1" applyAlignment="1">
      <alignment horizontal="center" vertical="center" wrapText="1"/>
    </xf>
    <xf numFmtId="0" fontId="60" fillId="0" borderId="5" xfId="4" applyFont="1" applyFill="1" applyBorder="1" applyAlignment="1">
      <alignment horizontal="left" vertical="center" wrapText="1"/>
    </xf>
    <xf numFmtId="0" fontId="60" fillId="0" borderId="6" xfId="4" applyFont="1" applyFill="1" applyBorder="1" applyAlignment="1">
      <alignment horizontal="center" vertical="center" wrapText="1"/>
    </xf>
    <xf numFmtId="167" fontId="8" fillId="0" borderId="6" xfId="0" applyNumberFormat="1" applyFont="1" applyFill="1" applyBorder="1" applyAlignment="1">
      <alignment horizontal="center" vertical="center" wrapText="1"/>
    </xf>
    <xf numFmtId="0" fontId="60" fillId="0" borderId="6" xfId="4" applyFont="1" applyFill="1" applyBorder="1" applyAlignment="1">
      <alignment horizontal="left" vertical="center" wrapText="1"/>
    </xf>
    <xf numFmtId="0" fontId="17" fillId="0" borderId="2" xfId="0" applyFont="1" applyFill="1" applyBorder="1" applyAlignment="1">
      <alignment horizontal="center" vertical="center" wrapText="1"/>
    </xf>
    <xf numFmtId="0" fontId="32"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4" fontId="8" fillId="0" borderId="4"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167" fontId="32" fillId="0" borderId="1" xfId="0" applyNumberFormat="1" applyFont="1" applyFill="1" applyBorder="1" applyAlignment="1">
      <alignment horizontal="center" vertical="top" wrapText="1"/>
    </xf>
    <xf numFmtId="0" fontId="8" fillId="0" borderId="4" xfId="0" applyFont="1" applyFill="1" applyBorder="1" applyAlignment="1">
      <alignment vertical="center" wrapText="1"/>
    </xf>
    <xf numFmtId="165" fontId="20" fillId="0" borderId="1" xfId="0" applyNumberFormat="1" applyFont="1" applyFill="1" applyBorder="1" applyAlignment="1">
      <alignment horizontal="center" vertical="top"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165" fontId="20" fillId="0" borderId="1" xfId="4" applyNumberFormat="1" applyFont="1" applyFill="1" applyBorder="1" applyAlignment="1">
      <alignment horizontal="right" vertical="center" wrapText="1"/>
    </xf>
    <xf numFmtId="167" fontId="20" fillId="0" borderId="11" xfId="1" applyNumberFormat="1" applyFont="1" applyFill="1" applyBorder="1" applyAlignment="1">
      <alignment vertical="center" wrapText="1"/>
    </xf>
    <xf numFmtId="4" fontId="20" fillId="0" borderId="1" xfId="0" applyNumberFormat="1" applyFont="1" applyFill="1" applyBorder="1" applyAlignment="1">
      <alignment horizontal="right" wrapText="1"/>
    </xf>
    <xf numFmtId="4" fontId="20" fillId="0" borderId="1" xfId="1" applyNumberFormat="1" applyFont="1" applyFill="1" applyBorder="1" applyAlignment="1">
      <alignment horizontal="right" wrapText="1"/>
    </xf>
    <xf numFmtId="4" fontId="20" fillId="0" borderId="1" xfId="1" applyNumberFormat="1" applyFont="1" applyFill="1" applyBorder="1" applyAlignment="1">
      <alignment wrapText="1"/>
    </xf>
    <xf numFmtId="4" fontId="29" fillId="0" borderId="1" xfId="1" applyNumberFormat="1" applyFont="1" applyFill="1" applyBorder="1" applyAlignment="1">
      <alignment horizontal="right" wrapText="1"/>
    </xf>
    <xf numFmtId="167" fontId="29" fillId="0" borderId="11" xfId="1" applyNumberFormat="1" applyFont="1" applyFill="1" applyBorder="1" applyAlignment="1">
      <alignment wrapText="1"/>
    </xf>
    <xf numFmtId="165" fontId="20" fillId="0" borderId="1" xfId="0" applyNumberFormat="1" applyFont="1" applyFill="1" applyBorder="1" applyAlignment="1">
      <alignment horizontal="right"/>
    </xf>
    <xf numFmtId="2" fontId="20" fillId="0" borderId="9" xfId="0" applyNumberFormat="1" applyFont="1" applyFill="1" applyBorder="1" applyAlignment="1">
      <alignment horizontal="right" wrapText="1"/>
    </xf>
    <xf numFmtId="165" fontId="20" fillId="0" borderId="1" xfId="0" applyNumberFormat="1" applyFont="1" applyFill="1" applyBorder="1" applyAlignment="1">
      <alignment horizontal="right" wrapText="1"/>
    </xf>
    <xf numFmtId="2" fontId="20" fillId="0" borderId="1" xfId="0" applyNumberFormat="1" applyFont="1" applyFill="1" applyBorder="1" applyAlignment="1">
      <alignment horizontal="right" wrapText="1"/>
    </xf>
    <xf numFmtId="167" fontId="29" fillId="0" borderId="1" xfId="1" applyNumberFormat="1" applyFont="1" applyFill="1" applyBorder="1" applyAlignment="1">
      <alignment wrapText="1"/>
    </xf>
    <xf numFmtId="165" fontId="20" fillId="0" borderId="1" xfId="0" applyNumberFormat="1" applyFont="1" applyFill="1" applyBorder="1" applyAlignment="1">
      <alignment horizontal="right" vertical="center" wrapText="1"/>
    </xf>
    <xf numFmtId="0" fontId="106" fillId="0" borderId="4" xfId="0" applyFont="1" applyFill="1" applyBorder="1" applyAlignment="1">
      <alignment horizontal="center" vertical="center"/>
    </xf>
    <xf numFmtId="0" fontId="106" fillId="0" borderId="5" xfId="0" applyFont="1" applyFill="1" applyBorder="1" applyAlignment="1">
      <alignment horizontal="center" vertical="center"/>
    </xf>
    <xf numFmtId="0" fontId="106" fillId="0" borderId="6" xfId="0" applyFont="1" applyFill="1" applyBorder="1" applyAlignment="1">
      <alignment horizontal="center" vertical="center"/>
    </xf>
    <xf numFmtId="0" fontId="106" fillId="0" borderId="1" xfId="0" applyFont="1" applyFill="1" applyBorder="1" applyAlignment="1">
      <alignment horizontal="center" vertical="center"/>
    </xf>
    <xf numFmtId="49" fontId="36" fillId="0" borderId="1" xfId="0" applyNumberFormat="1" applyFont="1" applyFill="1" applyBorder="1" applyAlignment="1">
      <alignment horizontal="center" vertical="center" wrapText="1"/>
    </xf>
    <xf numFmtId="0" fontId="106" fillId="0" borderId="5" xfId="0" applyFont="1" applyFill="1" applyBorder="1" applyAlignment="1">
      <alignment horizontal="center" vertical="center"/>
    </xf>
    <xf numFmtId="0" fontId="22" fillId="0" borderId="4"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top" wrapText="1"/>
    </xf>
    <xf numFmtId="4" fontId="22" fillId="0" borderId="1" xfId="0" applyNumberFormat="1" applyFont="1" applyFill="1" applyBorder="1" applyAlignment="1">
      <alignment horizontal="right" vertical="center" wrapText="1"/>
    </xf>
    <xf numFmtId="4" fontId="32" fillId="0" borderId="0" xfId="0" applyNumberFormat="1" applyFont="1" applyFill="1"/>
    <xf numFmtId="4" fontId="32" fillId="0" borderId="0" xfId="0" applyNumberFormat="1" applyFont="1" applyFill="1" applyAlignment="1">
      <alignment horizontal="right" vertical="center"/>
    </xf>
    <xf numFmtId="4" fontId="22" fillId="0" borderId="1" xfId="0" applyNumberFormat="1" applyFont="1" applyFill="1" applyBorder="1" applyAlignment="1">
      <alignment horizontal="right" wrapText="1"/>
    </xf>
    <xf numFmtId="4" fontId="22" fillId="0" borderId="1" xfId="1" applyNumberFormat="1" applyFont="1" applyFill="1" applyBorder="1" applyAlignment="1">
      <alignment horizontal="right" wrapText="1"/>
    </xf>
    <xf numFmtId="167" fontId="22" fillId="0" borderId="11" xfId="1" applyNumberFormat="1" applyFont="1" applyFill="1" applyBorder="1" applyAlignment="1">
      <alignment horizontal="right" wrapText="1"/>
    </xf>
    <xf numFmtId="4" fontId="17" fillId="0" borderId="1" xfId="0" applyNumberFormat="1" applyFont="1" applyFill="1" applyBorder="1" applyAlignment="1">
      <alignment horizontal="right" wrapText="1"/>
    </xf>
    <xf numFmtId="4" fontId="17" fillId="0" borderId="1" xfId="1" applyNumberFormat="1" applyFont="1" applyFill="1" applyBorder="1" applyAlignment="1">
      <alignment horizontal="right" wrapText="1"/>
    </xf>
    <xf numFmtId="4" fontId="32" fillId="0" borderId="1" xfId="0" applyNumberFormat="1" applyFont="1" applyFill="1" applyBorder="1" applyAlignment="1">
      <alignment horizontal="right"/>
    </xf>
    <xf numFmtId="0" fontId="22" fillId="0" borderId="2" xfId="0" applyFont="1" applyFill="1" applyBorder="1" applyAlignment="1">
      <alignment horizontal="center"/>
    </xf>
    <xf numFmtId="0" fontId="64" fillId="0" borderId="1" xfId="0" applyFont="1" applyFill="1" applyBorder="1" applyAlignment="1">
      <alignment horizontal="left" vertical="top" wrapText="1"/>
    </xf>
    <xf numFmtId="0" fontId="64" fillId="0" borderId="1" xfId="0" applyFont="1" applyFill="1" applyBorder="1" applyAlignment="1">
      <alignment horizontal="center" vertical="top" wrapText="1"/>
    </xf>
    <xf numFmtId="0" fontId="22" fillId="0" borderId="4" xfId="0" applyFont="1" applyFill="1" applyBorder="1" applyAlignment="1">
      <alignment horizontal="center" vertical="center" wrapText="1"/>
    </xf>
    <xf numFmtId="4" fontId="105" fillId="0" borderId="1" xfId="1" applyNumberFormat="1" applyFont="1" applyFill="1" applyBorder="1" applyAlignment="1">
      <alignment vertical="center" wrapText="1"/>
    </xf>
    <xf numFmtId="0" fontId="22" fillId="0" borderId="7" xfId="0" applyFont="1" applyFill="1" applyBorder="1" applyAlignment="1">
      <alignment horizontal="center"/>
    </xf>
    <xf numFmtId="0" fontId="64" fillId="0" borderId="1" xfId="0" applyNumberFormat="1" applyFont="1" applyFill="1" applyBorder="1" applyAlignment="1">
      <alignment horizontal="center" vertical="top"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xf>
    <xf numFmtId="167" fontId="64" fillId="0" borderId="1" xfId="0" applyNumberFormat="1" applyFont="1" applyFill="1" applyBorder="1" applyAlignment="1">
      <alignment horizontal="center" vertical="top" wrapText="1"/>
    </xf>
    <xf numFmtId="0" fontId="22" fillId="0" borderId="6" xfId="0" applyFont="1" applyFill="1" applyBorder="1" applyAlignment="1">
      <alignment horizontal="center" vertical="center" wrapText="1"/>
    </xf>
    <xf numFmtId="0" fontId="107" fillId="0" borderId="0" xfId="0" applyFont="1" applyFill="1"/>
    <xf numFmtId="0" fontId="19" fillId="0" borderId="0" xfId="0" applyFont="1" applyFill="1"/>
    <xf numFmtId="0" fontId="19" fillId="0" borderId="0" xfId="0" applyFont="1" applyFill="1" applyAlignment="1">
      <alignment vertical="center"/>
    </xf>
    <xf numFmtId="0" fontId="11" fillId="0" borderId="0" xfId="0" applyFont="1" applyFill="1"/>
    <xf numFmtId="4" fontId="19" fillId="0" borderId="1" xfId="0" applyNumberFormat="1" applyFont="1" applyFill="1" applyBorder="1" applyAlignment="1">
      <alignment horizontal="right"/>
    </xf>
    <xf numFmtId="4" fontId="19" fillId="0" borderId="1" xfId="0" applyNumberFormat="1" applyFont="1" applyFill="1" applyBorder="1" applyAlignment="1"/>
  </cellXfs>
  <cellStyles count="57">
    <cellStyle name="ex59" xfId="49"/>
    <cellStyle name="ex60" xfId="20"/>
    <cellStyle name="ex61" xfId="21"/>
    <cellStyle name="ex62" xfId="22"/>
    <cellStyle name="ex63" xfId="23"/>
    <cellStyle name="ex65" xfId="25"/>
    <cellStyle name="ex66" xfId="26"/>
    <cellStyle name="ex67" xfId="27"/>
    <cellStyle name="ex68" xfId="28"/>
    <cellStyle name="ex70" xfId="30"/>
    <cellStyle name="ex71" xfId="31"/>
    <cellStyle name="ex72" xfId="32"/>
    <cellStyle name="ex73" xfId="33"/>
    <cellStyle name="ex75" xfId="35"/>
    <cellStyle name="ex76" xfId="36"/>
    <cellStyle name="ex77" xfId="37"/>
    <cellStyle name="ex78" xfId="38"/>
    <cellStyle name="ex80" xfId="40"/>
    <cellStyle name="ex81" xfId="41"/>
    <cellStyle name="ex82" xfId="42"/>
    <cellStyle name="ex83" xfId="43"/>
    <cellStyle name="st58" xfId="13"/>
    <cellStyle name="st85" xfId="39"/>
    <cellStyle name="st86" xfId="34"/>
    <cellStyle name="st87" xfId="29"/>
    <cellStyle name="st88" xfId="24"/>
    <cellStyle name="xl_bot_header" xfId="18"/>
    <cellStyle name="xl_bot_left_header" xfId="17"/>
    <cellStyle name="xl_bot_right_header" xfId="19"/>
    <cellStyle name="xl_footer" xfId="52"/>
    <cellStyle name="xl_header" xfId="11"/>
    <cellStyle name="xl_top_header" xfId="15"/>
    <cellStyle name="xl_top_left_header" xfId="14"/>
    <cellStyle name="xl_top_right_header" xfId="16"/>
    <cellStyle name="xl_total_bot" xfId="51"/>
    <cellStyle name="xl_total_center" xfId="48"/>
    <cellStyle name="xl_total_left" xfId="47"/>
    <cellStyle name="xl_total_right" xfId="50"/>
    <cellStyle name="xl_total_top" xfId="45"/>
    <cellStyle name="xl_total_top_left" xfId="44"/>
    <cellStyle name="xl_total_top_right" xfId="46"/>
    <cellStyle name="Гиперссылка" xfId="56" builtinId="8"/>
    <cellStyle name="Обычный" xfId="0" builtinId="0"/>
    <cellStyle name="Обычный 2" xfId="2"/>
    <cellStyle name="Обычный 2 2" xfId="54"/>
    <cellStyle name="Обычный 3" xfId="4"/>
    <cellStyle name="Обычный 4" xfId="6"/>
    <cellStyle name="Обычный 5" xfId="5"/>
    <cellStyle name="Обычный 6" xfId="8"/>
    <cellStyle name="Обычный 7" xfId="12"/>
    <cellStyle name="Обычный 8" xfId="53"/>
    <cellStyle name="Обычный_Лист1" xfId="55"/>
    <cellStyle name="Процентный" xfId="10" builtinId="5"/>
    <cellStyle name="Процентный 2 2" xfId="3"/>
    <cellStyle name="Финансовый 2" xfId="1"/>
    <cellStyle name="Финансовый 3" xfId="7"/>
    <cellStyle name="Финансовый 4" xfId="9"/>
  </cellStyles>
  <dxfs count="1">
    <dxf>
      <fill>
        <patternFill patternType="solid">
          <fgColor rgb="FFFFFF00"/>
          <bgColor rgb="FF000000"/>
        </patternFill>
      </fill>
    </dxf>
  </dxfs>
  <tableStyles count="0" defaultTableStyle="TableStyleMedium2" defaultPivotStyle="PivotStyleLight16"/>
  <colors>
    <mruColors>
      <color rgb="FF66FF33"/>
      <color rgb="FFD98DC0"/>
      <color rgb="FFEF6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177800</xdr:colOff>
      <xdr:row>7</xdr:row>
      <xdr:rowOff>362744</xdr:rowOff>
    </xdr:from>
    <xdr:to>
      <xdr:col>3</xdr:col>
      <xdr:colOff>406400</xdr:colOff>
      <xdr:row>7</xdr:row>
      <xdr:rowOff>572294</xdr:rowOff>
    </xdr:to>
    <xdr:cxnSp macro="">
      <xdr:nvCxnSpPr>
        <xdr:cNvPr id="2" name="Прямая со стрелкой 1"/>
        <xdr:cNvCxnSpPr/>
      </xdr:nvCxnSpPr>
      <xdr:spPr>
        <a:xfrm flipV="1">
          <a:off x="2749550" y="2667794"/>
          <a:ext cx="228600"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8</xdr:row>
      <xdr:rowOff>193145</xdr:rowOff>
    </xdr:from>
    <xdr:to>
      <xdr:col>3</xdr:col>
      <xdr:colOff>456142</xdr:colOff>
      <xdr:row>8</xdr:row>
      <xdr:rowOff>388726</xdr:rowOff>
    </xdr:to>
    <xdr:cxnSp macro="">
      <xdr:nvCxnSpPr>
        <xdr:cNvPr id="3" name="Прямая со стрелкой 2"/>
        <xdr:cNvCxnSpPr/>
      </xdr:nvCxnSpPr>
      <xdr:spPr>
        <a:xfrm flipV="1">
          <a:off x="2752725" y="3450695"/>
          <a:ext cx="275167" cy="195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188912</xdr:colOff>
      <xdr:row>11</xdr:row>
      <xdr:rowOff>568325</xdr:rowOff>
    </xdr:from>
    <xdr:to>
      <xdr:col>3</xdr:col>
      <xdr:colOff>417512</xdr:colOff>
      <xdr:row>11</xdr:row>
      <xdr:rowOff>815975</xdr:rowOff>
    </xdr:to>
    <xdr:cxnSp macro="">
      <xdr:nvCxnSpPr>
        <xdr:cNvPr id="5" name="Прямая со стрелкой 4"/>
        <xdr:cNvCxnSpPr/>
      </xdr:nvCxnSpPr>
      <xdr:spPr>
        <a:xfrm flipV="1">
          <a:off x="2760662" y="5845175"/>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188913</xdr:colOff>
      <xdr:row>12</xdr:row>
      <xdr:rowOff>584200</xdr:rowOff>
    </xdr:from>
    <xdr:to>
      <xdr:col>3</xdr:col>
      <xdr:colOff>417513</xdr:colOff>
      <xdr:row>12</xdr:row>
      <xdr:rowOff>831850</xdr:rowOff>
    </xdr:to>
    <xdr:cxnSp macro="">
      <xdr:nvCxnSpPr>
        <xdr:cNvPr id="6" name="Прямая со стрелкой 5"/>
        <xdr:cNvCxnSpPr/>
      </xdr:nvCxnSpPr>
      <xdr:spPr>
        <a:xfrm flipV="1">
          <a:off x="2760663" y="7346950"/>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15</xdr:row>
      <xdr:rowOff>323850</xdr:rowOff>
    </xdr:from>
    <xdr:to>
      <xdr:col>3</xdr:col>
      <xdr:colOff>419100</xdr:colOff>
      <xdr:row>15</xdr:row>
      <xdr:rowOff>571500</xdr:rowOff>
    </xdr:to>
    <xdr:cxnSp macro="">
      <xdr:nvCxnSpPr>
        <xdr:cNvPr id="8" name="Прямая со стрелкой 7"/>
        <xdr:cNvCxnSpPr/>
      </xdr:nvCxnSpPr>
      <xdr:spPr>
        <a:xfrm flipV="1">
          <a:off x="2762250" y="14468475"/>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236537</xdr:colOff>
      <xdr:row>20</xdr:row>
      <xdr:rowOff>371475</xdr:rowOff>
    </xdr:from>
    <xdr:to>
      <xdr:col>3</xdr:col>
      <xdr:colOff>465137</xdr:colOff>
      <xdr:row>20</xdr:row>
      <xdr:rowOff>476250</xdr:rowOff>
    </xdr:to>
    <xdr:cxnSp macro="">
      <xdr:nvCxnSpPr>
        <xdr:cNvPr id="10" name="Прямая со стрелкой 9"/>
        <xdr:cNvCxnSpPr/>
      </xdr:nvCxnSpPr>
      <xdr:spPr>
        <a:xfrm flipV="1">
          <a:off x="2808287" y="21564600"/>
          <a:ext cx="2286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22</xdr:row>
      <xdr:rowOff>219075</xdr:rowOff>
    </xdr:from>
    <xdr:to>
      <xdr:col>3</xdr:col>
      <xdr:colOff>457200</xdr:colOff>
      <xdr:row>22</xdr:row>
      <xdr:rowOff>400050</xdr:rowOff>
    </xdr:to>
    <xdr:cxnSp macro="">
      <xdr:nvCxnSpPr>
        <xdr:cNvPr id="13" name="Прямая со стрелкой 12"/>
        <xdr:cNvCxnSpPr/>
      </xdr:nvCxnSpPr>
      <xdr:spPr>
        <a:xfrm flipV="1">
          <a:off x="2781300" y="22736175"/>
          <a:ext cx="247650"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179916</xdr:colOff>
      <xdr:row>13</xdr:row>
      <xdr:rowOff>465667</xdr:rowOff>
    </xdr:from>
    <xdr:to>
      <xdr:col>3</xdr:col>
      <xdr:colOff>433917</xdr:colOff>
      <xdr:row>13</xdr:row>
      <xdr:rowOff>690034</xdr:rowOff>
    </xdr:to>
    <xdr:cxnSp macro="">
      <xdr:nvCxnSpPr>
        <xdr:cNvPr id="14" name="Прямая со стрелкой 13"/>
        <xdr:cNvCxnSpPr/>
      </xdr:nvCxnSpPr>
      <xdr:spPr>
        <a:xfrm flipV="1">
          <a:off x="2762249" y="8720667"/>
          <a:ext cx="254001" cy="224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236537</xdr:colOff>
      <xdr:row>21</xdr:row>
      <xdr:rowOff>371475</xdr:rowOff>
    </xdr:from>
    <xdr:to>
      <xdr:col>3</xdr:col>
      <xdr:colOff>465137</xdr:colOff>
      <xdr:row>21</xdr:row>
      <xdr:rowOff>476250</xdr:rowOff>
    </xdr:to>
    <xdr:cxnSp macro="">
      <xdr:nvCxnSpPr>
        <xdr:cNvPr id="18" name="Прямая со стрелкой 17"/>
        <xdr:cNvCxnSpPr/>
      </xdr:nvCxnSpPr>
      <xdr:spPr>
        <a:xfrm flipV="1">
          <a:off x="2818870" y="21591058"/>
          <a:ext cx="2286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232834</xdr:colOff>
      <xdr:row>17</xdr:row>
      <xdr:rowOff>433916</xdr:rowOff>
    </xdr:from>
    <xdr:to>
      <xdr:col>3</xdr:col>
      <xdr:colOff>461434</xdr:colOff>
      <xdr:row>17</xdr:row>
      <xdr:rowOff>681566</xdr:rowOff>
    </xdr:to>
    <xdr:cxnSp macro="">
      <xdr:nvCxnSpPr>
        <xdr:cNvPr id="20" name="Прямая со стрелкой 19"/>
        <xdr:cNvCxnSpPr/>
      </xdr:nvCxnSpPr>
      <xdr:spPr>
        <a:xfrm flipV="1">
          <a:off x="2815167" y="12869333"/>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179917</xdr:colOff>
      <xdr:row>18</xdr:row>
      <xdr:rowOff>338667</xdr:rowOff>
    </xdr:from>
    <xdr:to>
      <xdr:col>3</xdr:col>
      <xdr:colOff>391584</xdr:colOff>
      <xdr:row>18</xdr:row>
      <xdr:rowOff>603250</xdr:rowOff>
    </xdr:to>
    <xdr:cxnSp macro="">
      <xdr:nvCxnSpPr>
        <xdr:cNvPr id="21" name="Прямая со стрелкой 20"/>
        <xdr:cNvCxnSpPr/>
      </xdr:nvCxnSpPr>
      <xdr:spPr>
        <a:xfrm>
          <a:off x="2762250" y="13768917"/>
          <a:ext cx="211667" cy="264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222250</xdr:colOff>
      <xdr:row>10</xdr:row>
      <xdr:rowOff>560916</xdr:rowOff>
    </xdr:from>
    <xdr:to>
      <xdr:col>3</xdr:col>
      <xdr:colOff>465667</xdr:colOff>
      <xdr:row>10</xdr:row>
      <xdr:rowOff>783166</xdr:rowOff>
    </xdr:to>
    <xdr:cxnSp macro="">
      <xdr:nvCxnSpPr>
        <xdr:cNvPr id="15" name="Прямая со стрелкой 14"/>
        <xdr:cNvCxnSpPr/>
      </xdr:nvCxnSpPr>
      <xdr:spPr>
        <a:xfrm>
          <a:off x="2804583" y="4455583"/>
          <a:ext cx="243417" cy="222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byshkina\AppData\Local\Microsoft\Windows\Temporary%20Internet%20Files\Content.Outlook\H9ARWQ4O\9-2\&#1055;&#1051;&#1040;&#1053;%201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ogdanov\&#1056;&#1072;&#1073;&#1086;&#1095;&#1080;&#1081;%20&#1089;&#1090;&#1086;&#1083;\&#1043;&#1054;&#1057;&#1055;&#1056;&#1054;&#1043;&#1056;&#1040;&#1052;&#1052;&#1040;\6-2015\6-3%20&#1048;&#1079;&#1084;&#1077;&#1085;&#1077;&#1085;&#1080;&#1103;%20&#1074;%20&#1055;&#1051;&#1040;&#1053;%20&#1087;&#1086;%20&#1075;&#1086;&#1089;&#1079;&#1072;&#1076;&#1072;&#1085;&#1080;&#1102;\&#1055;&#1051;&#1040;&#1053;%20&#1087;&#1088;14%20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73;&#1086;&#1075;&#1076;&#1072;&#1085;&#1086;&#1074;\&#1043;&#1054;&#1057;&#1055;&#1056;&#1054;&#1043;&#1056;&#1040;&#1052;&#1052;&#1040;\6-2015\6-6%20&#1056;&#1086;&#1089;&#1083;&#1103;&#1082;&#1086;&#1074;&#1086;\&#1055;&#1051;&#1040;&#1053;%20&#1087;&#1088;14%2015-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opasova\AppData\Local\Microsoft\Windows\INetCache\Content.Outlook\JKESLFBU\9-2\&#1055;&#1051;&#1040;&#1053;%2018-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73;&#1086;&#1075;&#1076;&#1072;&#1085;&#1086;&#1074;\&#1043;&#1054;&#1057;&#1055;&#1056;&#1054;&#1043;&#1056;&#1040;&#1052;&#1052;&#1040;\6-2015\6-3%20&#1048;&#1079;&#1084;&#1077;&#1085;&#1077;&#1085;&#1080;&#1103;%20&#1074;%20&#1055;&#1051;&#1040;&#1053;%20&#1087;&#1086;%20&#1075;&#1086;&#1089;&#1079;&#1072;&#1076;&#1072;&#1085;&#1080;&#1102;\&#1055;&#1051;&#1040;&#1053;%20&#1087;&#1088;14%20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073;&#1086;&#1075;&#1076;&#1072;&#1085;&#1086;&#1074;\&#1043;&#1054;&#1057;&#1055;&#1056;&#1054;&#1043;&#1056;&#1040;&#1052;&#1052;&#1040;\9-2018\9-5\&#1055;&#1083;&#1072;&#1085;%2018-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rozherina\Desktop\&#1056;&#1077;&#1075;&#1080;&#1085;&#1072;%20&#1089;&#1087;&#1086;&#1088;&#1090;&#1082;&#1086;&#1084;&#1080;&#1090;&#1077;&#1090;\&#1092;&#1080;&#1085;&#1072;&#1085;&#1089;&#1086;&#1074;&#1099;&#1077;%20&#1086;&#1090;&#1095;&#1077;&#1090;&#1099;%20&#1087;&#1086;%20&#1075;&#1086;&#1089;&#1087;&#1088;&#1086;&#1075;&#1088;&#1072;&#1084;&#1084;&#1072;&#1084;\2020\&#1075;&#1086;&#1089;&#1087;&#1088;&#1086;&#1075;&#1088;&#1072;&#1084;&#1084;&#1072;%20&#1080;&#1102;&#1085;&#1100;\&#1055;&#1083;&#1072;&#1085;%20&#1056;&#1077;&#1072;&#1083;&#1080;&#1079;&#1072;&#1094;&#1080;&#1080;%20&#1043;&#1055;%202019-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eskina\AppData\Local\Microsoft\Windows\INetCache\Content.Outlook\7D07AMIF\&#1054;&#1090;&#1095;&#1077;&#1090;%20&#1087;&#1086;%20&#1043;&#1055;%20&#1052;&#1054;%20&#1079;&#1072;%202022_%20&#1089;&#1087;&#1086;&#1088;&#10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ogdanov\AppData\Local\Microsoft\Windows\INetCache\Content.Outlook\HE5YG0E1\&#1048;&#1089;&#1087;&#1086;&#1083;&#1085;&#1077;&#1085;&#1080;&#1077;%20&#1085;&#1072;%2001%2007%202020%20&#1087;&#1086;%20&#1054;&#1050;&#1057;%20&#1084;&#1091;&#1085;&#1080;&#109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073;&#1086;&#1075;&#1076;&#1072;&#1085;&#1086;&#1074;\&#1043;&#1054;&#1057;&#1055;&#1056;&#1054;&#1043;&#1056;&#1040;&#1052;&#1052;&#1040;\8-2017\8-5%20&#1086;&#1089;&#1077;&#1085;&#1085;&#1103;&#1103;%20&#1082;&#1086;&#1088;&#1088;&#1077;&#1082;&#1090;\&#1055;&#1051;&#1040;&#1053;%2016-17-18-1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Изменения 2017 Минфин"/>
      <sheetName val="Справка ОКС"/>
      <sheetName val="8 План18-20-1"/>
      <sheetName val="8 План18-20-2"/>
      <sheetName val="10а. Спр пок "/>
      <sheetName val="10б. Справка"/>
      <sheetName val="Сводная"/>
      <sheetName val="10в Справка ОКС"/>
      <sheetName val="8 План16-20"/>
      <sheetName val="10в. Спр ОКС"/>
      <sheetName val="4. ОКС 16-19-3"/>
      <sheetName val="Пр8 16-19 (2)"/>
    </sheetNames>
    <sheetDataSet>
      <sheetData sheetId="0"/>
      <sheetData sheetId="1">
        <row r="128">
          <cell r="G128">
            <v>0</v>
          </cell>
          <cell r="H128">
            <v>0</v>
          </cell>
          <cell r="I128">
            <v>0</v>
          </cell>
        </row>
        <row r="129">
          <cell r="G129">
            <v>0</v>
          </cell>
          <cell r="H129">
            <v>0</v>
          </cell>
          <cell r="I129">
            <v>0</v>
          </cell>
        </row>
        <row r="130">
          <cell r="G130">
            <v>0</v>
          </cell>
          <cell r="H130">
            <v>0</v>
          </cell>
          <cell r="I130">
            <v>0</v>
          </cell>
        </row>
        <row r="131">
          <cell r="G131">
            <v>0</v>
          </cell>
          <cell r="H131">
            <v>0</v>
          </cell>
          <cell r="I131">
            <v>0</v>
          </cell>
        </row>
        <row r="132">
          <cell r="G132">
            <v>0</v>
          </cell>
          <cell r="H132">
            <v>0</v>
          </cell>
          <cell r="I132">
            <v>0</v>
          </cell>
        </row>
        <row r="136">
          <cell r="G136">
            <v>0</v>
          </cell>
          <cell r="H136">
            <v>0</v>
          </cell>
          <cell r="I136">
            <v>0</v>
          </cell>
        </row>
        <row r="137">
          <cell r="G137">
            <v>0</v>
          </cell>
          <cell r="H137">
            <v>0</v>
          </cell>
          <cell r="I137">
            <v>0</v>
          </cell>
        </row>
        <row r="138">
          <cell r="G138">
            <v>0</v>
          </cell>
          <cell r="H138">
            <v>0</v>
          </cell>
          <cell r="I138">
            <v>0</v>
          </cell>
        </row>
        <row r="139">
          <cell r="G139">
            <v>0</v>
          </cell>
          <cell r="H139">
            <v>0</v>
          </cell>
          <cell r="I139">
            <v>0</v>
          </cell>
        </row>
        <row r="140">
          <cell r="G140">
            <v>0</v>
          </cell>
          <cell r="H140">
            <v>0</v>
          </cell>
          <cell r="I140">
            <v>0</v>
          </cell>
        </row>
        <row r="176">
          <cell r="G176">
            <v>0</v>
          </cell>
          <cell r="H176">
            <v>0</v>
          </cell>
          <cell r="I176">
            <v>0</v>
          </cell>
        </row>
        <row r="177">
          <cell r="G177">
            <v>0</v>
          </cell>
          <cell r="H177">
            <v>0</v>
          </cell>
          <cell r="I177">
            <v>0</v>
          </cell>
        </row>
        <row r="178">
          <cell r="G178">
            <v>0</v>
          </cell>
          <cell r="H178">
            <v>0</v>
          </cell>
          <cell r="I178">
            <v>0</v>
          </cell>
        </row>
        <row r="179">
          <cell r="G179">
            <v>0</v>
          </cell>
          <cell r="H179">
            <v>0</v>
          </cell>
          <cell r="I179">
            <v>0</v>
          </cell>
        </row>
        <row r="180">
          <cell r="G180">
            <v>0</v>
          </cell>
          <cell r="H180">
            <v>0</v>
          </cell>
          <cell r="I180">
            <v>0</v>
          </cell>
        </row>
        <row r="232">
          <cell r="G232">
            <v>0</v>
          </cell>
          <cell r="H232">
            <v>0</v>
          </cell>
          <cell r="I232">
            <v>0</v>
          </cell>
        </row>
        <row r="233">
          <cell r="G233">
            <v>0</v>
          </cell>
          <cell r="H233">
            <v>0</v>
          </cell>
          <cell r="I233">
            <v>0</v>
          </cell>
        </row>
        <row r="234">
          <cell r="G234">
            <v>0</v>
          </cell>
          <cell r="H234">
            <v>0</v>
          </cell>
          <cell r="I234">
            <v>0</v>
          </cell>
        </row>
        <row r="240">
          <cell r="G240">
            <v>0</v>
          </cell>
          <cell r="H240">
            <v>0</v>
          </cell>
          <cell r="I240">
            <v>0</v>
          </cell>
        </row>
        <row r="241">
          <cell r="G241">
            <v>0</v>
          </cell>
          <cell r="H241">
            <v>0</v>
          </cell>
          <cell r="I241">
            <v>0</v>
          </cell>
        </row>
        <row r="242">
          <cell r="G242">
            <v>0</v>
          </cell>
          <cell r="H242">
            <v>0</v>
          </cell>
          <cell r="I242">
            <v>0</v>
          </cell>
        </row>
        <row r="248">
          <cell r="G248">
            <v>0</v>
          </cell>
          <cell r="H248">
            <v>0</v>
          </cell>
          <cell r="I248">
            <v>0</v>
          </cell>
        </row>
        <row r="249">
          <cell r="G249">
            <v>0</v>
          </cell>
          <cell r="H249">
            <v>0</v>
          </cell>
          <cell r="I249">
            <v>0</v>
          </cell>
        </row>
        <row r="250">
          <cell r="G250">
            <v>0</v>
          </cell>
          <cell r="H250">
            <v>0</v>
          </cell>
          <cell r="I250">
            <v>0</v>
          </cell>
        </row>
        <row r="256">
          <cell r="G256">
            <v>0</v>
          </cell>
          <cell r="H256">
            <v>0</v>
          </cell>
          <cell r="I256">
            <v>0</v>
          </cell>
        </row>
        <row r="257">
          <cell r="G257">
            <v>0</v>
          </cell>
          <cell r="H257">
            <v>0</v>
          </cell>
          <cell r="I257">
            <v>0</v>
          </cell>
        </row>
        <row r="258">
          <cell r="G258">
            <v>0</v>
          </cell>
          <cell r="H258">
            <v>0</v>
          </cell>
          <cell r="I258">
            <v>0</v>
          </cell>
        </row>
        <row r="264">
          <cell r="G264">
            <v>0</v>
          </cell>
          <cell r="H264">
            <v>0</v>
          </cell>
          <cell r="I264">
            <v>0</v>
          </cell>
        </row>
        <row r="265">
          <cell r="G265">
            <v>0</v>
          </cell>
          <cell r="H265">
            <v>0</v>
          </cell>
          <cell r="I265">
            <v>0</v>
          </cell>
        </row>
        <row r="266">
          <cell r="G266">
            <v>0</v>
          </cell>
          <cell r="H266">
            <v>0</v>
          </cell>
          <cell r="I266">
            <v>0</v>
          </cell>
        </row>
        <row r="272">
          <cell r="G272">
            <v>0</v>
          </cell>
          <cell r="H272">
            <v>0</v>
          </cell>
          <cell r="I272">
            <v>0</v>
          </cell>
        </row>
        <row r="273">
          <cell r="G273">
            <v>0</v>
          </cell>
          <cell r="H273">
            <v>0</v>
          </cell>
          <cell r="I273">
            <v>0</v>
          </cell>
        </row>
        <row r="274">
          <cell r="G274">
            <v>0</v>
          </cell>
          <cell r="H274">
            <v>0</v>
          </cell>
          <cell r="I274">
            <v>0</v>
          </cell>
        </row>
        <row r="280">
          <cell r="G280">
            <v>0</v>
          </cell>
          <cell r="H280">
            <v>0</v>
          </cell>
          <cell r="I280">
            <v>0</v>
          </cell>
        </row>
        <row r="281">
          <cell r="G281">
            <v>0</v>
          </cell>
          <cell r="H281">
            <v>0</v>
          </cell>
          <cell r="I281">
            <v>0</v>
          </cell>
        </row>
        <row r="282">
          <cell r="G282">
            <v>0</v>
          </cell>
          <cell r="H282">
            <v>0</v>
          </cell>
          <cell r="I282">
            <v>0</v>
          </cell>
        </row>
        <row r="288">
          <cell r="G288">
            <v>0</v>
          </cell>
          <cell r="H288">
            <v>0</v>
          </cell>
          <cell r="I288">
            <v>0</v>
          </cell>
        </row>
        <row r="289">
          <cell r="G289">
            <v>0</v>
          </cell>
          <cell r="H289">
            <v>0</v>
          </cell>
          <cell r="I289">
            <v>0</v>
          </cell>
        </row>
        <row r="290">
          <cell r="G290">
            <v>0</v>
          </cell>
          <cell r="H290">
            <v>0</v>
          </cell>
          <cell r="I290">
            <v>0</v>
          </cell>
        </row>
        <row r="296">
          <cell r="G296">
            <v>0</v>
          </cell>
          <cell r="H296">
            <v>0</v>
          </cell>
          <cell r="I296">
            <v>0</v>
          </cell>
        </row>
        <row r="297">
          <cell r="G297">
            <v>0</v>
          </cell>
          <cell r="H297">
            <v>0</v>
          </cell>
          <cell r="I297">
            <v>0</v>
          </cell>
        </row>
        <row r="298">
          <cell r="G298">
            <v>0</v>
          </cell>
          <cell r="H298">
            <v>0</v>
          </cell>
          <cell r="I298">
            <v>0</v>
          </cell>
        </row>
        <row r="304">
          <cell r="G304">
            <v>0</v>
          </cell>
          <cell r="H304">
            <v>0</v>
          </cell>
          <cell r="I304">
            <v>0</v>
          </cell>
        </row>
        <row r="305">
          <cell r="G305">
            <v>0</v>
          </cell>
          <cell r="H305">
            <v>0</v>
          </cell>
          <cell r="I305">
            <v>0</v>
          </cell>
        </row>
        <row r="306">
          <cell r="G306">
            <v>0</v>
          </cell>
          <cell r="H306">
            <v>0</v>
          </cell>
          <cell r="I306">
            <v>0</v>
          </cell>
        </row>
        <row r="312">
          <cell r="G312">
            <v>0</v>
          </cell>
          <cell r="H312">
            <v>0</v>
          </cell>
          <cell r="I312">
            <v>0</v>
          </cell>
        </row>
        <row r="313">
          <cell r="G313">
            <v>0</v>
          </cell>
          <cell r="H313">
            <v>0</v>
          </cell>
          <cell r="I313">
            <v>0</v>
          </cell>
        </row>
        <row r="314">
          <cell r="G314">
            <v>0</v>
          </cell>
          <cell r="H314">
            <v>0</v>
          </cell>
          <cell r="I314">
            <v>0</v>
          </cell>
        </row>
        <row r="320">
          <cell r="G320">
            <v>0</v>
          </cell>
          <cell r="H320">
            <v>0</v>
          </cell>
          <cell r="I320">
            <v>0</v>
          </cell>
        </row>
        <row r="321">
          <cell r="G321">
            <v>0</v>
          </cell>
          <cell r="H321">
            <v>0</v>
          </cell>
          <cell r="I321">
            <v>0</v>
          </cell>
        </row>
        <row r="322">
          <cell r="G322">
            <v>0</v>
          </cell>
          <cell r="H322">
            <v>0</v>
          </cell>
          <cell r="I322">
            <v>0</v>
          </cell>
        </row>
        <row r="328">
          <cell r="G328">
            <v>0</v>
          </cell>
          <cell r="H328">
            <v>0</v>
          </cell>
          <cell r="I328">
            <v>0</v>
          </cell>
        </row>
        <row r="329">
          <cell r="G329">
            <v>0</v>
          </cell>
          <cell r="H329">
            <v>0</v>
          </cell>
          <cell r="I329">
            <v>0</v>
          </cell>
        </row>
        <row r="330">
          <cell r="G330">
            <v>0</v>
          </cell>
          <cell r="H330">
            <v>0</v>
          </cell>
          <cell r="I330">
            <v>0</v>
          </cell>
        </row>
        <row r="336">
          <cell r="G336">
            <v>0</v>
          </cell>
          <cell r="H336">
            <v>0</v>
          </cell>
          <cell r="I336">
            <v>0</v>
          </cell>
        </row>
        <row r="337">
          <cell r="G337">
            <v>0</v>
          </cell>
          <cell r="H337">
            <v>0</v>
          </cell>
          <cell r="I337">
            <v>0</v>
          </cell>
        </row>
        <row r="338">
          <cell r="G338">
            <v>0</v>
          </cell>
          <cell r="H338">
            <v>0</v>
          </cell>
          <cell r="I338">
            <v>0</v>
          </cell>
        </row>
        <row r="344">
          <cell r="G344">
            <v>0</v>
          </cell>
          <cell r="H344">
            <v>0</v>
          </cell>
          <cell r="I344">
            <v>0</v>
          </cell>
        </row>
        <row r="345">
          <cell r="G345">
            <v>0</v>
          </cell>
          <cell r="H345">
            <v>0</v>
          </cell>
          <cell r="I345">
            <v>0</v>
          </cell>
        </row>
        <row r="346">
          <cell r="G346">
            <v>0</v>
          </cell>
          <cell r="H346">
            <v>0</v>
          </cell>
          <cell r="I346">
            <v>0</v>
          </cell>
        </row>
        <row r="352">
          <cell r="G352">
            <v>0</v>
          </cell>
          <cell r="H352">
            <v>0</v>
          </cell>
          <cell r="I352">
            <v>0</v>
          </cell>
        </row>
        <row r="353">
          <cell r="G353">
            <v>0</v>
          </cell>
          <cell r="H353">
            <v>0</v>
          </cell>
          <cell r="I353">
            <v>0</v>
          </cell>
        </row>
        <row r="354">
          <cell r="G354">
            <v>0</v>
          </cell>
          <cell r="H354">
            <v>0</v>
          </cell>
          <cell r="I354">
            <v>0</v>
          </cell>
        </row>
        <row r="360">
          <cell r="G360">
            <v>0</v>
          </cell>
          <cell r="H360">
            <v>0</v>
          </cell>
          <cell r="I360">
            <v>0</v>
          </cell>
        </row>
        <row r="361">
          <cell r="G361">
            <v>0</v>
          </cell>
          <cell r="H361">
            <v>0</v>
          </cell>
          <cell r="I361">
            <v>0</v>
          </cell>
        </row>
        <row r="362">
          <cell r="G362">
            <v>0</v>
          </cell>
          <cell r="H362">
            <v>0</v>
          </cell>
          <cell r="I362">
            <v>0</v>
          </cell>
        </row>
        <row r="368">
          <cell r="G368">
            <v>0</v>
          </cell>
          <cell r="H368">
            <v>0</v>
          </cell>
          <cell r="I368">
            <v>0</v>
          </cell>
        </row>
        <row r="369">
          <cell r="G369">
            <v>0</v>
          </cell>
          <cell r="H369">
            <v>0</v>
          </cell>
          <cell r="I369">
            <v>0</v>
          </cell>
        </row>
        <row r="370">
          <cell r="G370">
            <v>0</v>
          </cell>
          <cell r="H370">
            <v>0</v>
          </cell>
          <cell r="I370">
            <v>0</v>
          </cell>
        </row>
        <row r="376">
          <cell r="G376">
            <v>0</v>
          </cell>
          <cell r="H376">
            <v>0</v>
          </cell>
          <cell r="I376">
            <v>0</v>
          </cell>
        </row>
        <row r="377">
          <cell r="G377">
            <v>0</v>
          </cell>
          <cell r="H377">
            <v>0</v>
          </cell>
          <cell r="I377">
            <v>0</v>
          </cell>
        </row>
        <row r="378">
          <cell r="G378">
            <v>0</v>
          </cell>
          <cell r="H378">
            <v>0</v>
          </cell>
          <cell r="I378">
            <v>0</v>
          </cell>
        </row>
        <row r="384">
          <cell r="G384">
            <v>0</v>
          </cell>
          <cell r="H384">
            <v>0</v>
          </cell>
          <cell r="I384">
            <v>0</v>
          </cell>
        </row>
        <row r="385">
          <cell r="G385">
            <v>0</v>
          </cell>
          <cell r="H385">
            <v>0</v>
          </cell>
          <cell r="I385">
            <v>0</v>
          </cell>
        </row>
        <row r="386">
          <cell r="G386">
            <v>0</v>
          </cell>
          <cell r="H386">
            <v>0</v>
          </cell>
          <cell r="I386">
            <v>0</v>
          </cell>
        </row>
        <row r="392">
          <cell r="G392">
            <v>0</v>
          </cell>
          <cell r="H392">
            <v>0</v>
          </cell>
          <cell r="I392">
            <v>0</v>
          </cell>
        </row>
        <row r="393">
          <cell r="G393">
            <v>0</v>
          </cell>
          <cell r="H393">
            <v>0</v>
          </cell>
          <cell r="I393">
            <v>0</v>
          </cell>
        </row>
        <row r="394">
          <cell r="G394">
            <v>0</v>
          </cell>
          <cell r="H394">
            <v>0</v>
          </cell>
          <cell r="I394">
            <v>0</v>
          </cell>
        </row>
        <row r="400">
          <cell r="G400">
            <v>0</v>
          </cell>
          <cell r="H400">
            <v>0</v>
          </cell>
          <cell r="I400">
            <v>0</v>
          </cell>
        </row>
        <row r="401">
          <cell r="G401">
            <v>0</v>
          </cell>
          <cell r="H401">
            <v>0</v>
          </cell>
          <cell r="I401">
            <v>0</v>
          </cell>
        </row>
        <row r="402">
          <cell r="G402">
            <v>0</v>
          </cell>
          <cell r="H402">
            <v>0</v>
          </cell>
          <cell r="I402">
            <v>0</v>
          </cell>
        </row>
        <row r="408">
          <cell r="G408">
            <v>0</v>
          </cell>
          <cell r="H408">
            <v>0</v>
          </cell>
          <cell r="I408">
            <v>0</v>
          </cell>
        </row>
        <row r="409">
          <cell r="G409">
            <v>0</v>
          </cell>
          <cell r="H409">
            <v>0</v>
          </cell>
          <cell r="I409">
            <v>0</v>
          </cell>
        </row>
        <row r="410">
          <cell r="G410">
            <v>0</v>
          </cell>
          <cell r="H410">
            <v>0</v>
          </cell>
          <cell r="I410">
            <v>0</v>
          </cell>
        </row>
        <row r="416">
          <cell r="G416">
            <v>0</v>
          </cell>
          <cell r="H416">
            <v>0</v>
          </cell>
          <cell r="I416">
            <v>0</v>
          </cell>
        </row>
        <row r="417">
          <cell r="G417">
            <v>0</v>
          </cell>
          <cell r="H417">
            <v>0</v>
          </cell>
          <cell r="I417">
            <v>0</v>
          </cell>
        </row>
        <row r="418">
          <cell r="G418">
            <v>0</v>
          </cell>
          <cell r="H418">
            <v>0</v>
          </cell>
          <cell r="I418">
            <v>0</v>
          </cell>
        </row>
        <row r="424">
          <cell r="G424">
            <v>0</v>
          </cell>
          <cell r="H424">
            <v>0</v>
          </cell>
          <cell r="I424">
            <v>0</v>
          </cell>
        </row>
        <row r="425">
          <cell r="G425">
            <v>0</v>
          </cell>
          <cell r="H425">
            <v>0</v>
          </cell>
          <cell r="I425">
            <v>0</v>
          </cell>
        </row>
        <row r="426">
          <cell r="G426">
            <v>0</v>
          </cell>
          <cell r="H426">
            <v>0</v>
          </cell>
          <cell r="I426">
            <v>0</v>
          </cell>
        </row>
        <row r="432">
          <cell r="G432">
            <v>0</v>
          </cell>
          <cell r="H432">
            <v>0</v>
          </cell>
          <cell r="I432">
            <v>0</v>
          </cell>
        </row>
        <row r="433">
          <cell r="G433">
            <v>0</v>
          </cell>
          <cell r="H433">
            <v>0</v>
          </cell>
          <cell r="I433">
            <v>0</v>
          </cell>
        </row>
        <row r="434">
          <cell r="G434">
            <v>0</v>
          </cell>
          <cell r="H434">
            <v>0</v>
          </cell>
          <cell r="I434">
            <v>0</v>
          </cell>
        </row>
        <row r="440">
          <cell r="G440">
            <v>0</v>
          </cell>
          <cell r="H440">
            <v>0</v>
          </cell>
          <cell r="I440">
            <v>0</v>
          </cell>
        </row>
        <row r="441">
          <cell r="G441">
            <v>0</v>
          </cell>
          <cell r="H441">
            <v>0</v>
          </cell>
          <cell r="I441">
            <v>0</v>
          </cell>
        </row>
        <row r="442">
          <cell r="G442">
            <v>0</v>
          </cell>
          <cell r="H442">
            <v>0</v>
          </cell>
          <cell r="I442">
            <v>0</v>
          </cell>
        </row>
        <row r="448">
          <cell r="G448">
            <v>0</v>
          </cell>
          <cell r="H448">
            <v>0</v>
          </cell>
          <cell r="I448">
            <v>0</v>
          </cell>
        </row>
        <row r="449">
          <cell r="G449">
            <v>0</v>
          </cell>
          <cell r="H449">
            <v>0</v>
          </cell>
          <cell r="I449">
            <v>0</v>
          </cell>
        </row>
        <row r="450">
          <cell r="G450">
            <v>0</v>
          </cell>
          <cell r="H450">
            <v>0</v>
          </cell>
          <cell r="I450">
            <v>0</v>
          </cell>
        </row>
        <row r="456">
          <cell r="G456">
            <v>0</v>
          </cell>
          <cell r="H456">
            <v>0</v>
          </cell>
          <cell r="I456">
            <v>0</v>
          </cell>
        </row>
        <row r="457">
          <cell r="G457">
            <v>0</v>
          </cell>
          <cell r="H457">
            <v>0</v>
          </cell>
          <cell r="I457">
            <v>0</v>
          </cell>
        </row>
        <row r="458">
          <cell r="G458">
            <v>0</v>
          </cell>
          <cell r="H458">
            <v>0</v>
          </cell>
          <cell r="I458">
            <v>0</v>
          </cell>
        </row>
        <row r="464">
          <cell r="G464">
            <v>0</v>
          </cell>
          <cell r="H464">
            <v>0</v>
          </cell>
          <cell r="I464">
            <v>0</v>
          </cell>
        </row>
        <row r="465">
          <cell r="G465">
            <v>0</v>
          </cell>
          <cell r="H465">
            <v>0</v>
          </cell>
          <cell r="I465">
            <v>0</v>
          </cell>
        </row>
        <row r="466">
          <cell r="G466">
            <v>0</v>
          </cell>
          <cell r="H466">
            <v>0</v>
          </cell>
          <cell r="I466">
            <v>0</v>
          </cell>
        </row>
        <row r="472">
          <cell r="G472">
            <v>0</v>
          </cell>
          <cell r="H472">
            <v>0</v>
          </cell>
          <cell r="I472">
            <v>0</v>
          </cell>
        </row>
        <row r="473">
          <cell r="G473">
            <v>0</v>
          </cell>
          <cell r="H473">
            <v>0</v>
          </cell>
          <cell r="I473">
            <v>0</v>
          </cell>
        </row>
        <row r="474">
          <cell r="G474">
            <v>0</v>
          </cell>
          <cell r="H474">
            <v>0</v>
          </cell>
          <cell r="I474">
            <v>0</v>
          </cell>
        </row>
        <row r="480">
          <cell r="G480">
            <v>0</v>
          </cell>
          <cell r="H480">
            <v>0</v>
          </cell>
          <cell r="I480">
            <v>0</v>
          </cell>
        </row>
        <row r="481">
          <cell r="G481">
            <v>0</v>
          </cell>
          <cell r="H481">
            <v>0</v>
          </cell>
          <cell r="I481">
            <v>0</v>
          </cell>
        </row>
        <row r="482">
          <cell r="G482">
            <v>0</v>
          </cell>
          <cell r="H482">
            <v>0</v>
          </cell>
          <cell r="I482">
            <v>0</v>
          </cell>
        </row>
        <row r="488">
          <cell r="G488">
            <v>0</v>
          </cell>
          <cell r="H488">
            <v>0</v>
          </cell>
          <cell r="I488">
            <v>0</v>
          </cell>
        </row>
        <row r="489">
          <cell r="G489">
            <v>0</v>
          </cell>
          <cell r="H489">
            <v>0</v>
          </cell>
          <cell r="I489">
            <v>0</v>
          </cell>
        </row>
        <row r="490">
          <cell r="G490">
            <v>0</v>
          </cell>
          <cell r="H490">
            <v>0</v>
          </cell>
          <cell r="I490">
            <v>0</v>
          </cell>
        </row>
        <row r="496">
          <cell r="G496">
            <v>0</v>
          </cell>
          <cell r="H496">
            <v>0</v>
          </cell>
          <cell r="I496">
            <v>0</v>
          </cell>
        </row>
        <row r="497">
          <cell r="G497">
            <v>0</v>
          </cell>
          <cell r="H497">
            <v>0</v>
          </cell>
          <cell r="I497">
            <v>0</v>
          </cell>
        </row>
        <row r="498">
          <cell r="G498">
            <v>0</v>
          </cell>
          <cell r="H498">
            <v>0</v>
          </cell>
          <cell r="I498">
            <v>0</v>
          </cell>
        </row>
        <row r="504">
          <cell r="G504">
            <v>0</v>
          </cell>
          <cell r="H504">
            <v>0</v>
          </cell>
          <cell r="I504">
            <v>0</v>
          </cell>
        </row>
        <row r="505">
          <cell r="G505">
            <v>0</v>
          </cell>
          <cell r="H505">
            <v>0</v>
          </cell>
          <cell r="I505">
            <v>0</v>
          </cell>
        </row>
        <row r="506">
          <cell r="G506">
            <v>0</v>
          </cell>
          <cell r="H506">
            <v>0</v>
          </cell>
          <cell r="I506">
            <v>0</v>
          </cell>
        </row>
        <row r="512">
          <cell r="G512">
            <v>0</v>
          </cell>
          <cell r="H512">
            <v>0</v>
          </cell>
          <cell r="I512">
            <v>0</v>
          </cell>
        </row>
        <row r="513">
          <cell r="G513">
            <v>0</v>
          </cell>
          <cell r="H513">
            <v>0</v>
          </cell>
          <cell r="I513">
            <v>0</v>
          </cell>
        </row>
        <row r="514">
          <cell r="G514">
            <v>0</v>
          </cell>
          <cell r="H514">
            <v>0</v>
          </cell>
          <cell r="I514">
            <v>0</v>
          </cell>
        </row>
        <row r="520">
          <cell r="G520">
            <v>0</v>
          </cell>
          <cell r="H520">
            <v>0</v>
          </cell>
          <cell r="I520">
            <v>0</v>
          </cell>
        </row>
        <row r="521">
          <cell r="G521">
            <v>0</v>
          </cell>
          <cell r="H521">
            <v>0</v>
          </cell>
          <cell r="I521">
            <v>0</v>
          </cell>
        </row>
        <row r="522">
          <cell r="G522">
            <v>0</v>
          </cell>
          <cell r="H522">
            <v>0</v>
          </cell>
          <cell r="I522">
            <v>0</v>
          </cell>
        </row>
        <row r="528">
          <cell r="G528">
            <v>0</v>
          </cell>
          <cell r="H528">
            <v>0</v>
          </cell>
          <cell r="I528">
            <v>0</v>
          </cell>
        </row>
        <row r="529">
          <cell r="G529">
            <v>0</v>
          </cell>
          <cell r="H529">
            <v>0</v>
          </cell>
          <cell r="I529">
            <v>0</v>
          </cell>
        </row>
        <row r="530">
          <cell r="G530">
            <v>0</v>
          </cell>
          <cell r="H530">
            <v>0</v>
          </cell>
          <cell r="I530">
            <v>0</v>
          </cell>
        </row>
        <row r="536">
          <cell r="G536">
            <v>0</v>
          </cell>
          <cell r="H536">
            <v>0</v>
          </cell>
          <cell r="I536">
            <v>0</v>
          </cell>
        </row>
        <row r="537">
          <cell r="G537">
            <v>0</v>
          </cell>
          <cell r="H537">
            <v>0</v>
          </cell>
          <cell r="I537">
            <v>0</v>
          </cell>
        </row>
        <row r="538">
          <cell r="G538">
            <v>0</v>
          </cell>
          <cell r="H538">
            <v>0</v>
          </cell>
          <cell r="I538">
            <v>0</v>
          </cell>
        </row>
        <row r="544">
          <cell r="G544">
            <v>0</v>
          </cell>
          <cell r="H544">
            <v>0</v>
          </cell>
          <cell r="I544">
            <v>0</v>
          </cell>
        </row>
        <row r="545">
          <cell r="G545">
            <v>0</v>
          </cell>
          <cell r="H545">
            <v>0</v>
          </cell>
          <cell r="I545">
            <v>0</v>
          </cell>
        </row>
        <row r="546">
          <cell r="G546">
            <v>0</v>
          </cell>
          <cell r="H546">
            <v>0</v>
          </cell>
          <cell r="I546">
            <v>0</v>
          </cell>
        </row>
        <row r="552">
          <cell r="G552">
            <v>0</v>
          </cell>
          <cell r="H552">
            <v>0</v>
          </cell>
          <cell r="I552">
            <v>0</v>
          </cell>
        </row>
        <row r="553">
          <cell r="G553">
            <v>0</v>
          </cell>
          <cell r="H553">
            <v>0</v>
          </cell>
          <cell r="I553">
            <v>0</v>
          </cell>
        </row>
        <row r="554">
          <cell r="G554">
            <v>0</v>
          </cell>
          <cell r="H554">
            <v>0</v>
          </cell>
          <cell r="I554">
            <v>0</v>
          </cell>
        </row>
        <row r="560">
          <cell r="G560">
            <v>0</v>
          </cell>
          <cell r="H560">
            <v>0</v>
          </cell>
          <cell r="I560">
            <v>0</v>
          </cell>
        </row>
        <row r="561">
          <cell r="G561">
            <v>0</v>
          </cell>
          <cell r="H561">
            <v>0</v>
          </cell>
          <cell r="I561">
            <v>0</v>
          </cell>
        </row>
        <row r="562">
          <cell r="G562">
            <v>0</v>
          </cell>
          <cell r="H562">
            <v>0</v>
          </cell>
          <cell r="I562">
            <v>0</v>
          </cell>
        </row>
        <row r="568">
          <cell r="G568">
            <v>0</v>
          </cell>
          <cell r="H568">
            <v>0</v>
          </cell>
          <cell r="I568">
            <v>0</v>
          </cell>
        </row>
        <row r="569">
          <cell r="G569">
            <v>0</v>
          </cell>
          <cell r="H569">
            <v>0</v>
          </cell>
          <cell r="I569">
            <v>0</v>
          </cell>
        </row>
        <row r="570">
          <cell r="G570">
            <v>0</v>
          </cell>
          <cell r="H570">
            <v>0</v>
          </cell>
          <cell r="I570">
            <v>0</v>
          </cell>
        </row>
        <row r="584">
          <cell r="G584">
            <v>0</v>
          </cell>
          <cell r="H584">
            <v>0</v>
          </cell>
          <cell r="I584">
            <v>0</v>
          </cell>
        </row>
        <row r="585">
          <cell r="G585">
            <v>0</v>
          </cell>
          <cell r="H585">
            <v>0</v>
          </cell>
          <cell r="I585">
            <v>0</v>
          </cell>
        </row>
        <row r="586">
          <cell r="G586">
            <v>0</v>
          </cell>
          <cell r="H586">
            <v>0</v>
          </cell>
          <cell r="I586">
            <v>0</v>
          </cell>
        </row>
        <row r="592">
          <cell r="G592">
            <v>0</v>
          </cell>
          <cell r="H592">
            <v>0</v>
          </cell>
          <cell r="I592">
            <v>0</v>
          </cell>
        </row>
        <row r="593">
          <cell r="G593">
            <v>0</v>
          </cell>
          <cell r="H593">
            <v>0</v>
          </cell>
          <cell r="I593">
            <v>0</v>
          </cell>
        </row>
        <row r="594">
          <cell r="G594">
            <v>0</v>
          </cell>
          <cell r="H594">
            <v>0</v>
          </cell>
          <cell r="I59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12б. Справка"/>
      <sheetName val="Пр14. План"/>
    </sheetNames>
    <sheetDataSet>
      <sheetData sheetId="0" refreshError="1"/>
      <sheetData sheetId="1" refreshError="1">
        <row r="6">
          <cell r="F6">
            <v>870639.50000000012</v>
          </cell>
          <cell r="G6">
            <v>95764.2</v>
          </cell>
          <cell r="H6">
            <v>1752.6</v>
          </cell>
        </row>
        <row r="14">
          <cell r="E14">
            <v>20666.400000000001</v>
          </cell>
          <cell r="F14">
            <v>20666.400000000001</v>
          </cell>
          <cell r="G14">
            <v>0</v>
          </cell>
          <cell r="H14">
            <v>0</v>
          </cell>
          <cell r="I14">
            <v>0</v>
          </cell>
        </row>
        <row r="20">
          <cell r="G20">
            <v>0</v>
          </cell>
          <cell r="H20">
            <v>0</v>
          </cell>
          <cell r="I20">
            <v>0</v>
          </cell>
        </row>
        <row r="30">
          <cell r="F30">
            <v>18951.900000000001</v>
          </cell>
          <cell r="G30">
            <v>0</v>
          </cell>
          <cell r="H30">
            <v>0</v>
          </cell>
          <cell r="I30">
            <v>0</v>
          </cell>
        </row>
        <row r="36">
          <cell r="G36">
            <v>0</v>
          </cell>
          <cell r="H36">
            <v>0</v>
          </cell>
        </row>
        <row r="78">
          <cell r="E78">
            <v>1714.5</v>
          </cell>
          <cell r="F78">
            <v>1714.5</v>
          </cell>
          <cell r="G78">
            <v>0</v>
          </cell>
          <cell r="H78">
            <v>0</v>
          </cell>
          <cell r="I78">
            <v>0</v>
          </cell>
        </row>
        <row r="84">
          <cell r="G84">
            <v>0</v>
          </cell>
          <cell r="H84">
            <v>0</v>
          </cell>
          <cell r="I84">
            <v>0</v>
          </cell>
        </row>
        <row r="110">
          <cell r="E110">
            <v>358543.30000000005</v>
          </cell>
          <cell r="F110">
            <v>351200.10000000003</v>
          </cell>
          <cell r="G110">
            <v>7343.2</v>
          </cell>
          <cell r="H110">
            <v>0</v>
          </cell>
          <cell r="I110">
            <v>0</v>
          </cell>
        </row>
        <row r="116">
          <cell r="G116">
            <v>0</v>
          </cell>
          <cell r="H116">
            <v>0</v>
          </cell>
          <cell r="I116">
            <v>0</v>
          </cell>
        </row>
        <row r="126">
          <cell r="E126">
            <v>128033.59999999999</v>
          </cell>
          <cell r="F126">
            <v>128033.59999999999</v>
          </cell>
          <cell r="G126">
            <v>0</v>
          </cell>
          <cell r="H126">
            <v>0</v>
          </cell>
          <cell r="I126">
            <v>0</v>
          </cell>
        </row>
        <row r="131">
          <cell r="G131">
            <v>0</v>
          </cell>
          <cell r="H131">
            <v>0</v>
          </cell>
          <cell r="I131">
            <v>0</v>
          </cell>
        </row>
        <row r="132">
          <cell r="G132">
            <v>0</v>
          </cell>
          <cell r="H132">
            <v>0</v>
          </cell>
          <cell r="I132">
            <v>0</v>
          </cell>
        </row>
        <row r="246">
          <cell r="E246">
            <v>213046.80000000005</v>
          </cell>
          <cell r="F246">
            <v>205703.60000000003</v>
          </cell>
          <cell r="G246">
            <v>7343.2</v>
          </cell>
          <cell r="H246">
            <v>0</v>
          </cell>
          <cell r="I246">
            <v>0</v>
          </cell>
        </row>
        <row r="252">
          <cell r="G252">
            <v>0</v>
          </cell>
          <cell r="H252">
            <v>0</v>
          </cell>
          <cell r="I252">
            <v>0</v>
          </cell>
        </row>
        <row r="638">
          <cell r="E638">
            <v>17462.899999999998</v>
          </cell>
          <cell r="F638">
            <v>17462.899999999998</v>
          </cell>
          <cell r="G638">
            <v>0</v>
          </cell>
          <cell r="H638">
            <v>0</v>
          </cell>
          <cell r="I638">
            <v>0</v>
          </cell>
        </row>
        <row r="644">
          <cell r="G644">
            <v>0</v>
          </cell>
          <cell r="H644">
            <v>0</v>
          </cell>
          <cell r="I644">
            <v>0</v>
          </cell>
        </row>
        <row r="670">
          <cell r="F670">
            <v>473335.7</v>
          </cell>
          <cell r="G670">
            <v>88421</v>
          </cell>
          <cell r="H670">
            <v>1752.6</v>
          </cell>
        </row>
        <row r="686">
          <cell r="F686">
            <v>433887.5</v>
          </cell>
          <cell r="G686">
            <v>80000</v>
          </cell>
          <cell r="H686">
            <v>0</v>
          </cell>
        </row>
        <row r="789">
          <cell r="I789">
            <v>0</v>
          </cell>
        </row>
        <row r="817">
          <cell r="E817">
            <v>49621.8</v>
          </cell>
          <cell r="F817">
            <v>39448.199999999997</v>
          </cell>
          <cell r="G817">
            <v>8421</v>
          </cell>
          <cell r="H817">
            <v>1752.6</v>
          </cell>
          <cell r="I817">
            <v>0</v>
          </cell>
        </row>
        <row r="889">
          <cell r="E889">
            <v>25437.3</v>
          </cell>
          <cell r="F889">
            <v>25437.3</v>
          </cell>
          <cell r="G889">
            <v>0</v>
          </cell>
          <cell r="H889">
            <v>0</v>
          </cell>
          <cell r="I889">
            <v>0</v>
          </cell>
        </row>
        <row r="897">
          <cell r="E897">
            <v>25437.3</v>
          </cell>
          <cell r="F897">
            <v>25437.3</v>
          </cell>
          <cell r="G897">
            <v>0</v>
          </cell>
          <cell r="H897">
            <v>0</v>
          </cell>
          <cell r="I89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ОМ"/>
      <sheetName val="5. ОКС"/>
      <sheetName val="Пр12б. Справка"/>
      <sheetName val="план 15-17"/>
    </sheetNames>
    <sheetDataSet>
      <sheetData sheetId="0"/>
      <sheetData sheetId="1"/>
      <sheetData sheetId="2"/>
      <sheetData sheetId="3">
        <row r="6">
          <cell r="F6">
            <v>621446.20000000007</v>
          </cell>
          <cell r="G6">
            <v>150332</v>
          </cell>
          <cell r="H6">
            <v>2920.6</v>
          </cell>
          <cell r="I6">
            <v>0</v>
          </cell>
        </row>
        <row r="10">
          <cell r="E10">
            <v>15058.3</v>
          </cell>
          <cell r="F10">
            <v>13143.399999999998</v>
          </cell>
          <cell r="G10">
            <v>1914.9</v>
          </cell>
          <cell r="H10">
            <v>0</v>
          </cell>
          <cell r="I10">
            <v>0</v>
          </cell>
        </row>
        <row r="30">
          <cell r="F30">
            <v>3145.7</v>
          </cell>
          <cell r="G30">
            <v>0</v>
          </cell>
          <cell r="H30">
            <v>0</v>
          </cell>
          <cell r="I30">
            <v>0</v>
          </cell>
        </row>
        <row r="42">
          <cell r="E42">
            <v>3316.2</v>
          </cell>
          <cell r="F42">
            <v>1401.3</v>
          </cell>
          <cell r="G42">
            <v>1914.9</v>
          </cell>
          <cell r="H42">
            <v>0</v>
          </cell>
          <cell r="I42">
            <v>0</v>
          </cell>
        </row>
        <row r="54">
          <cell r="E54">
            <v>336025.29999999993</v>
          </cell>
          <cell r="F54">
            <v>329450.19999999995</v>
          </cell>
          <cell r="G54">
            <v>6575.1</v>
          </cell>
          <cell r="H54">
            <v>0</v>
          </cell>
          <cell r="I54">
            <v>0</v>
          </cell>
        </row>
        <row r="62">
          <cell r="E62">
            <v>86630.5</v>
          </cell>
          <cell r="F62">
            <v>86650.5</v>
          </cell>
          <cell r="G62">
            <v>0</v>
          </cell>
          <cell r="H62">
            <v>0</v>
          </cell>
          <cell r="I62">
            <v>0</v>
          </cell>
        </row>
        <row r="118">
          <cell r="E118">
            <v>233706.69999999995</v>
          </cell>
          <cell r="F118">
            <v>227131.59999999995</v>
          </cell>
          <cell r="G118">
            <v>6575.1</v>
          </cell>
          <cell r="H118">
            <v>0</v>
          </cell>
          <cell r="I118">
            <v>0</v>
          </cell>
        </row>
        <row r="266">
          <cell r="E266">
            <v>15668.1</v>
          </cell>
          <cell r="F266">
            <v>15668.1</v>
          </cell>
          <cell r="G266">
            <v>0</v>
          </cell>
          <cell r="H266">
            <v>0</v>
          </cell>
          <cell r="I266">
            <v>0</v>
          </cell>
        </row>
        <row r="286">
          <cell r="F286">
            <v>254835.7</v>
          </cell>
          <cell r="G286">
            <v>141842</v>
          </cell>
          <cell r="H286">
            <v>2920.6</v>
          </cell>
          <cell r="I286">
            <v>0</v>
          </cell>
        </row>
        <row r="294">
          <cell r="F294">
            <v>198427.5</v>
          </cell>
          <cell r="G294">
            <v>125000</v>
          </cell>
          <cell r="H294">
            <v>0</v>
          </cell>
          <cell r="I294">
            <v>0</v>
          </cell>
        </row>
        <row r="298">
          <cell r="F298">
            <v>69933</v>
          </cell>
        </row>
        <row r="302">
          <cell r="F302">
            <v>36221</v>
          </cell>
        </row>
        <row r="306">
          <cell r="F306">
            <v>33970.5</v>
          </cell>
        </row>
        <row r="310">
          <cell r="F310">
            <v>38000</v>
          </cell>
        </row>
        <row r="314">
          <cell r="E314">
            <v>4500</v>
          </cell>
          <cell r="F314">
            <v>4500</v>
          </cell>
          <cell r="G314">
            <v>0</v>
          </cell>
          <cell r="H314">
            <v>0</v>
          </cell>
          <cell r="I314">
            <v>0</v>
          </cell>
        </row>
        <row r="318">
          <cell r="F318">
            <v>0</v>
          </cell>
        </row>
        <row r="322">
          <cell r="F322">
            <v>0</v>
          </cell>
        </row>
        <row r="326">
          <cell r="F326">
            <v>15803</v>
          </cell>
        </row>
        <row r="330">
          <cell r="F330">
            <v>0</v>
          </cell>
        </row>
        <row r="338">
          <cell r="E338">
            <v>76170.799999999988</v>
          </cell>
          <cell r="F338">
            <v>56408.2</v>
          </cell>
          <cell r="G338">
            <v>16842</v>
          </cell>
          <cell r="H338">
            <v>2920.6</v>
          </cell>
          <cell r="I338">
            <v>0</v>
          </cell>
        </row>
        <row r="342">
          <cell r="E342">
            <v>409.2</v>
          </cell>
          <cell r="F342">
            <v>409.2</v>
          </cell>
          <cell r="G342">
            <v>0</v>
          </cell>
          <cell r="H342">
            <v>0</v>
          </cell>
          <cell r="I342">
            <v>0</v>
          </cell>
        </row>
        <row r="346">
          <cell r="F346">
            <v>51099</v>
          </cell>
        </row>
        <row r="350">
          <cell r="F350">
            <v>4400</v>
          </cell>
        </row>
        <row r="354">
          <cell r="E354">
            <v>0</v>
          </cell>
          <cell r="F354">
            <v>0</v>
          </cell>
          <cell r="G354">
            <v>0</v>
          </cell>
          <cell r="H354">
            <v>0</v>
          </cell>
          <cell r="I354">
            <v>0</v>
          </cell>
        </row>
        <row r="358">
          <cell r="E358">
            <v>0</v>
          </cell>
          <cell r="F358">
            <v>0</v>
          </cell>
          <cell r="G358">
            <v>0</v>
          </cell>
          <cell r="H358">
            <v>0</v>
          </cell>
          <cell r="I358">
            <v>0</v>
          </cell>
        </row>
        <row r="362">
          <cell r="E362">
            <v>0</v>
          </cell>
          <cell r="F362">
            <v>0</v>
          </cell>
          <cell r="G362">
            <v>0</v>
          </cell>
          <cell r="H362">
            <v>0</v>
          </cell>
          <cell r="I362">
            <v>0</v>
          </cell>
        </row>
        <row r="366">
          <cell r="F366">
            <v>0</v>
          </cell>
        </row>
        <row r="370">
          <cell r="E370">
            <v>500</v>
          </cell>
          <cell r="F370">
            <v>500</v>
          </cell>
          <cell r="G370">
            <v>0</v>
          </cell>
          <cell r="H370">
            <v>0</v>
          </cell>
          <cell r="I370">
            <v>0</v>
          </cell>
        </row>
        <row r="374">
          <cell r="E374">
            <v>16842</v>
          </cell>
          <cell r="F374">
            <v>0</v>
          </cell>
          <cell r="G374">
            <v>16842</v>
          </cell>
          <cell r="H374">
            <v>0</v>
          </cell>
          <cell r="I374">
            <v>0</v>
          </cell>
        </row>
        <row r="378">
          <cell r="F378">
            <v>24016.899999999998</v>
          </cell>
        </row>
        <row r="382">
          <cell r="F382">
            <v>24016.899999999998</v>
          </cell>
          <cell r="G382">
            <v>0</v>
          </cell>
          <cell r="H382">
            <v>0</v>
          </cell>
          <cell r="I38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Изменения 2017 Минфин"/>
      <sheetName val="Справка ОКС"/>
      <sheetName val="8 План18-20-1"/>
      <sheetName val="8 План18-20-2"/>
      <sheetName val="10а. Спр пок "/>
      <sheetName val="10б. Справка"/>
      <sheetName val="Сводная"/>
      <sheetName val="10в Справка ОКС"/>
      <sheetName val="8 План16-20"/>
      <sheetName val="10в. Спр ОКС"/>
      <sheetName val="4. ОКС 16-19-3"/>
      <sheetName val="Пр8 16-19 (2)"/>
    </sheetNames>
    <sheetDataSet>
      <sheetData sheetId="0" refreshError="1"/>
      <sheetData sheetId="1" refreshError="1"/>
      <sheetData sheetId="2" refreshError="1"/>
      <sheetData sheetId="3">
        <row r="16">
          <cell r="L16">
            <v>4921</v>
          </cell>
        </row>
        <row r="101">
          <cell r="L101">
            <v>2188.1</v>
          </cell>
        </row>
      </sheetData>
      <sheetData sheetId="4" refreshError="1"/>
      <sheetData sheetId="5" refreshError="1"/>
      <sheetData sheetId="6" refreshError="1"/>
      <sheetData sheetId="7" refreshError="1"/>
      <sheetData sheetId="8" refreshError="1"/>
      <sheetData sheetId="9" refreshError="1"/>
      <sheetData sheetId="10" refreshError="1"/>
      <sheetData sheetId="11">
        <row r="6">
          <cell r="F6">
            <v>528911.6</v>
          </cell>
          <cell r="G6">
            <v>25501.9</v>
          </cell>
          <cell r="H6">
            <v>20949.2</v>
          </cell>
          <cell r="I6">
            <v>20800</v>
          </cell>
        </row>
        <row r="7">
          <cell r="F7">
            <v>622094.69999999995</v>
          </cell>
          <cell r="G7">
            <v>37021</v>
          </cell>
          <cell r="H7">
            <v>67320.800000000003</v>
          </cell>
          <cell r="I7">
            <v>15000</v>
          </cell>
        </row>
        <row r="8">
          <cell r="F8">
            <v>1011644.85</v>
          </cell>
          <cell r="G8">
            <v>32132.199999999997</v>
          </cell>
          <cell r="H8">
            <v>53899.6</v>
          </cell>
          <cell r="I8">
            <v>0</v>
          </cell>
        </row>
        <row r="9">
          <cell r="F9">
            <v>1128676.5</v>
          </cell>
          <cell r="G9">
            <v>111471.4</v>
          </cell>
          <cell r="H9">
            <v>114812.6</v>
          </cell>
          <cell r="I9">
            <v>28300</v>
          </cell>
        </row>
        <row r="12">
          <cell r="E12">
            <v>20057.099999999999</v>
          </cell>
          <cell r="F12">
            <v>12120.599999999999</v>
          </cell>
          <cell r="G12">
            <v>7936.5</v>
          </cell>
          <cell r="H12">
            <v>0</v>
          </cell>
          <cell r="I12">
            <v>0</v>
          </cell>
        </row>
        <row r="13">
          <cell r="E13">
            <v>29900.6</v>
          </cell>
          <cell r="F13">
            <v>12200.599999999999</v>
          </cell>
          <cell r="G13">
            <v>17700</v>
          </cell>
          <cell r="H13">
            <v>0</v>
          </cell>
          <cell r="I13">
            <v>0</v>
          </cell>
        </row>
        <row r="14">
          <cell r="E14">
            <v>79841.8</v>
          </cell>
          <cell r="F14">
            <v>63022.5</v>
          </cell>
          <cell r="G14">
            <v>16819.3</v>
          </cell>
          <cell r="H14">
            <v>0</v>
          </cell>
          <cell r="I14">
            <v>0</v>
          </cell>
        </row>
        <row r="15">
          <cell r="E15">
            <v>51190.8</v>
          </cell>
          <cell r="F15">
            <v>51190.8</v>
          </cell>
          <cell r="G15">
            <v>0</v>
          </cell>
          <cell r="H15">
            <v>0</v>
          </cell>
          <cell r="I15">
            <v>0</v>
          </cell>
        </row>
        <row r="16">
          <cell r="E16">
            <v>51748.9</v>
          </cell>
          <cell r="F16">
            <v>51748.9</v>
          </cell>
          <cell r="G16">
            <v>0</v>
          </cell>
          <cell r="H16">
            <v>0</v>
          </cell>
          <cell r="I16">
            <v>0</v>
          </cell>
        </row>
        <row r="18">
          <cell r="F18">
            <v>8864.4</v>
          </cell>
          <cell r="G18">
            <v>6977</v>
          </cell>
          <cell r="H18">
            <v>0</v>
          </cell>
          <cell r="I18">
            <v>0</v>
          </cell>
        </row>
        <row r="19">
          <cell r="F19">
            <v>10034.4</v>
          </cell>
          <cell r="G19">
            <v>17700</v>
          </cell>
          <cell r="H19">
            <v>0</v>
          </cell>
          <cell r="I19">
            <v>0</v>
          </cell>
        </row>
        <row r="20">
          <cell r="F20">
            <v>51704.1</v>
          </cell>
          <cell r="G20">
            <v>16819.3</v>
          </cell>
          <cell r="H20">
            <v>0</v>
          </cell>
          <cell r="I20">
            <v>0</v>
          </cell>
        </row>
        <row r="21">
          <cell r="F21">
            <v>39555.1</v>
          </cell>
          <cell r="G21">
            <v>0</v>
          </cell>
          <cell r="H21">
            <v>0</v>
          </cell>
          <cell r="I21">
            <v>0</v>
          </cell>
        </row>
        <row r="22">
          <cell r="F22">
            <v>39784.300000000003</v>
          </cell>
        </row>
        <row r="60">
          <cell r="F60">
            <v>3256.2</v>
          </cell>
          <cell r="G60">
            <v>959.5</v>
          </cell>
          <cell r="H60">
            <v>0</v>
          </cell>
          <cell r="I60">
            <v>0</v>
          </cell>
        </row>
        <row r="61">
          <cell r="F61">
            <v>2166.1999999999998</v>
          </cell>
          <cell r="G61">
            <v>0</v>
          </cell>
          <cell r="H61">
            <v>0</v>
          </cell>
          <cell r="I61">
            <v>0</v>
          </cell>
        </row>
        <row r="62">
          <cell r="F62">
            <v>11318.4</v>
          </cell>
          <cell r="G62">
            <v>0</v>
          </cell>
          <cell r="H62">
            <v>0</v>
          </cell>
          <cell r="I62">
            <v>0</v>
          </cell>
        </row>
        <row r="63">
          <cell r="F63">
            <v>11635.7</v>
          </cell>
          <cell r="G63">
            <v>0</v>
          </cell>
          <cell r="H63">
            <v>0</v>
          </cell>
          <cell r="I63">
            <v>0</v>
          </cell>
        </row>
        <row r="64">
          <cell r="F64">
            <v>11964.6</v>
          </cell>
        </row>
        <row r="84">
          <cell r="E84">
            <v>385423.4</v>
          </cell>
          <cell r="F84">
            <v>379215.5</v>
          </cell>
          <cell r="G84">
            <v>6207.9</v>
          </cell>
          <cell r="H84">
            <v>0</v>
          </cell>
          <cell r="I84">
            <v>0</v>
          </cell>
        </row>
        <row r="85">
          <cell r="E85">
            <v>456261.4</v>
          </cell>
          <cell r="F85">
            <v>448205.9</v>
          </cell>
          <cell r="G85">
            <v>8055.5</v>
          </cell>
          <cell r="H85">
            <v>0</v>
          </cell>
          <cell r="I85">
            <v>0</v>
          </cell>
        </row>
        <row r="86">
          <cell r="E86">
            <v>564541.4</v>
          </cell>
          <cell r="F86">
            <v>549228.5</v>
          </cell>
          <cell r="G86">
            <v>15312.9</v>
          </cell>
          <cell r="H86">
            <v>0</v>
          </cell>
          <cell r="I86">
            <v>0</v>
          </cell>
        </row>
        <row r="87">
          <cell r="E87">
            <v>527685.5</v>
          </cell>
          <cell r="F87">
            <v>527685.5</v>
          </cell>
          <cell r="G87">
            <v>0</v>
          </cell>
          <cell r="H87">
            <v>0</v>
          </cell>
          <cell r="I87">
            <v>0</v>
          </cell>
        </row>
        <row r="88">
          <cell r="E88">
            <v>538931.5</v>
          </cell>
          <cell r="F88">
            <v>538931.5</v>
          </cell>
          <cell r="G88">
            <v>0</v>
          </cell>
          <cell r="H88">
            <v>0</v>
          </cell>
          <cell r="I88">
            <v>0</v>
          </cell>
        </row>
        <row r="90">
          <cell r="F90">
            <v>86400.5</v>
          </cell>
          <cell r="G90">
            <v>0</v>
          </cell>
          <cell r="H90">
            <v>0</v>
          </cell>
          <cell r="I90">
            <v>0</v>
          </cell>
        </row>
        <row r="91">
          <cell r="F91">
            <v>84336.700000000012</v>
          </cell>
          <cell r="G91">
            <v>0</v>
          </cell>
          <cell r="H91">
            <v>0</v>
          </cell>
          <cell r="I91">
            <v>0</v>
          </cell>
        </row>
        <row r="92">
          <cell r="F92">
            <v>116483.30000000002</v>
          </cell>
          <cell r="G92">
            <v>0</v>
          </cell>
          <cell r="H92">
            <v>0</v>
          </cell>
          <cell r="I92">
            <v>0</v>
          </cell>
        </row>
        <row r="93">
          <cell r="F93">
            <v>116993.60000000002</v>
          </cell>
        </row>
        <row r="94">
          <cell r="F94">
            <v>117949.00000000001</v>
          </cell>
        </row>
        <row r="156">
          <cell r="F156">
            <v>290831.7</v>
          </cell>
          <cell r="G156">
            <v>6207.9</v>
          </cell>
          <cell r="H156">
            <v>0</v>
          </cell>
          <cell r="I156">
            <v>0</v>
          </cell>
        </row>
        <row r="157">
          <cell r="F157">
            <v>336315.9</v>
          </cell>
          <cell r="G157">
            <v>8055.5</v>
          </cell>
          <cell r="H157">
            <v>0</v>
          </cell>
          <cell r="I157">
            <v>0</v>
          </cell>
        </row>
        <row r="158">
          <cell r="F158">
            <v>432163.7</v>
          </cell>
          <cell r="G158">
            <v>15312.9</v>
          </cell>
          <cell r="H158">
            <v>0</v>
          </cell>
          <cell r="I158">
            <v>0</v>
          </cell>
        </row>
        <row r="159">
          <cell r="F159">
            <v>410110.4</v>
          </cell>
          <cell r="G159">
            <v>0</v>
          </cell>
          <cell r="H159">
            <v>0</v>
          </cell>
          <cell r="I159">
            <v>0</v>
          </cell>
        </row>
        <row r="160">
          <cell r="F160">
            <v>420401</v>
          </cell>
        </row>
        <row r="186">
          <cell r="F186">
            <v>1983.3</v>
          </cell>
          <cell r="G186">
            <v>0</v>
          </cell>
          <cell r="H186">
            <v>0</v>
          </cell>
          <cell r="I186">
            <v>0</v>
          </cell>
        </row>
        <row r="187">
          <cell r="F187">
            <v>27553.3</v>
          </cell>
          <cell r="G187">
            <v>0</v>
          </cell>
          <cell r="H187">
            <v>0</v>
          </cell>
          <cell r="I187">
            <v>0</v>
          </cell>
        </row>
        <row r="188">
          <cell r="F188">
            <v>581.5</v>
          </cell>
          <cell r="G188">
            <v>0</v>
          </cell>
          <cell r="H188">
            <v>0</v>
          </cell>
          <cell r="I188">
            <v>0</v>
          </cell>
        </row>
        <row r="189">
          <cell r="F189">
            <v>581.5</v>
          </cell>
          <cell r="G189">
            <v>0</v>
          </cell>
          <cell r="H189">
            <v>0</v>
          </cell>
          <cell r="I189">
            <v>0</v>
          </cell>
        </row>
        <row r="190">
          <cell r="F190">
            <v>581.5</v>
          </cell>
        </row>
        <row r="216">
          <cell r="E216">
            <v>165142.70000000001</v>
          </cell>
          <cell r="F216">
            <v>112036</v>
          </cell>
          <cell r="G216">
            <v>11357.5</v>
          </cell>
          <cell r="H216">
            <v>20949.2</v>
          </cell>
          <cell r="I216">
            <v>20800</v>
          </cell>
        </row>
        <row r="217">
          <cell r="E217">
            <v>229531.3</v>
          </cell>
          <cell r="F217">
            <v>135945</v>
          </cell>
          <cell r="G217">
            <v>11265.5</v>
          </cell>
          <cell r="H217">
            <v>67320.800000000003</v>
          </cell>
          <cell r="I217">
            <v>15000</v>
          </cell>
        </row>
        <row r="218">
          <cell r="E218">
            <v>425028.25</v>
          </cell>
          <cell r="F218">
            <v>371128.65</v>
          </cell>
          <cell r="G218">
            <v>0</v>
          </cell>
          <cell r="H218">
            <v>53899.6</v>
          </cell>
          <cell r="I218">
            <v>0</v>
          </cell>
        </row>
        <row r="219">
          <cell r="E219">
            <v>776658.2</v>
          </cell>
          <cell r="F219">
            <v>522074.2</v>
          </cell>
          <cell r="G219">
            <v>111471.4</v>
          </cell>
          <cell r="H219">
            <v>114812.6</v>
          </cell>
          <cell r="I219">
            <v>28300</v>
          </cell>
        </row>
        <row r="220">
          <cell r="E220">
            <v>379865</v>
          </cell>
          <cell r="F220">
            <v>205104.6</v>
          </cell>
          <cell r="G220">
            <v>111471.4</v>
          </cell>
          <cell r="H220">
            <v>63289</v>
          </cell>
          <cell r="I220">
            <v>0</v>
          </cell>
        </row>
        <row r="222">
          <cell r="E222">
            <v>76401.7</v>
          </cell>
          <cell r="F222">
            <v>38301.699999999997</v>
          </cell>
          <cell r="G222">
            <v>0</v>
          </cell>
          <cell r="H222">
            <v>17300</v>
          </cell>
          <cell r="I222">
            <v>20800</v>
          </cell>
        </row>
        <row r="223">
          <cell r="E223">
            <v>165279.4</v>
          </cell>
          <cell r="F223">
            <v>85679.4</v>
          </cell>
          <cell r="G223">
            <v>0</v>
          </cell>
          <cell r="H223">
            <v>64600</v>
          </cell>
          <cell r="I223">
            <v>15000</v>
          </cell>
        </row>
        <row r="224">
          <cell r="E224">
            <v>363024.95</v>
          </cell>
          <cell r="F224">
            <v>321650.85000000003</v>
          </cell>
          <cell r="G224">
            <v>0</v>
          </cell>
          <cell r="H224">
            <v>41374.1</v>
          </cell>
          <cell r="I224">
            <v>0</v>
          </cell>
        </row>
        <row r="225">
          <cell r="E225">
            <v>555441</v>
          </cell>
          <cell r="F225">
            <v>394349.7</v>
          </cell>
          <cell r="G225">
            <v>111471.4</v>
          </cell>
          <cell r="H225">
            <v>49619.9</v>
          </cell>
          <cell r="I225">
            <v>0</v>
          </cell>
        </row>
        <row r="226">
          <cell r="E226">
            <v>249165</v>
          </cell>
          <cell r="F226">
            <v>136754.6</v>
          </cell>
          <cell r="G226">
            <v>111471.4</v>
          </cell>
          <cell r="H226">
            <v>939</v>
          </cell>
          <cell r="I226">
            <v>0</v>
          </cell>
        </row>
        <row r="228">
          <cell r="F228">
            <v>25587.5</v>
          </cell>
        </row>
        <row r="234">
          <cell r="E234">
            <v>3750</v>
          </cell>
          <cell r="F234">
            <v>3750</v>
          </cell>
          <cell r="G234">
            <v>0</v>
          </cell>
          <cell r="H234">
            <v>0</v>
          </cell>
          <cell r="I234">
            <v>0</v>
          </cell>
        </row>
        <row r="235">
          <cell r="E235">
            <v>4500</v>
          </cell>
          <cell r="F235">
            <v>4500</v>
          </cell>
          <cell r="G235">
            <v>0</v>
          </cell>
          <cell r="H235">
            <v>0</v>
          </cell>
          <cell r="I235">
            <v>0</v>
          </cell>
        </row>
        <row r="236">
          <cell r="E236">
            <v>4500</v>
          </cell>
          <cell r="F236">
            <v>4500</v>
          </cell>
          <cell r="G236">
            <v>0</v>
          </cell>
          <cell r="H236">
            <v>0</v>
          </cell>
          <cell r="I236">
            <v>0</v>
          </cell>
        </row>
        <row r="237">
          <cell r="E237">
            <v>4500</v>
          </cell>
          <cell r="F237">
            <v>4500</v>
          </cell>
          <cell r="G237">
            <v>0</v>
          </cell>
          <cell r="H237">
            <v>0</v>
          </cell>
          <cell r="I237">
            <v>0</v>
          </cell>
        </row>
        <row r="238">
          <cell r="E238">
            <v>4500</v>
          </cell>
          <cell r="F238">
            <v>4500</v>
          </cell>
          <cell r="G238">
            <v>0</v>
          </cell>
          <cell r="H238">
            <v>0</v>
          </cell>
          <cell r="I238">
            <v>0</v>
          </cell>
        </row>
        <row r="240">
          <cell r="F240">
            <v>1866</v>
          </cell>
          <cell r="G240">
            <v>0</v>
          </cell>
          <cell r="H240">
            <v>0</v>
          </cell>
          <cell r="I240">
            <v>0</v>
          </cell>
        </row>
        <row r="241">
          <cell r="F241">
            <v>99</v>
          </cell>
          <cell r="G241">
            <v>0</v>
          </cell>
          <cell r="H241">
            <v>0</v>
          </cell>
          <cell r="I241">
            <v>0</v>
          </cell>
        </row>
        <row r="242">
          <cell r="F242">
            <v>31489.75</v>
          </cell>
          <cell r="G242">
            <v>0</v>
          </cell>
          <cell r="H242">
            <v>0</v>
          </cell>
          <cell r="I242">
            <v>0</v>
          </cell>
        </row>
        <row r="243">
          <cell r="F243">
            <v>14557.3</v>
          </cell>
          <cell r="G243">
            <v>0</v>
          </cell>
          <cell r="H243">
            <v>0</v>
          </cell>
          <cell r="I243">
            <v>0</v>
          </cell>
        </row>
        <row r="244">
          <cell r="F244">
            <v>0</v>
          </cell>
          <cell r="G244">
            <v>0</v>
          </cell>
          <cell r="H244">
            <v>0</v>
          </cell>
          <cell r="I244">
            <v>0</v>
          </cell>
        </row>
        <row r="246">
          <cell r="F246">
            <v>2300</v>
          </cell>
          <cell r="G246">
            <v>0</v>
          </cell>
          <cell r="H246">
            <v>2300</v>
          </cell>
          <cell r="I246">
            <v>0</v>
          </cell>
        </row>
        <row r="247">
          <cell r="F247">
            <v>20000</v>
          </cell>
          <cell r="G247">
            <v>0</v>
          </cell>
          <cell r="I247">
            <v>0</v>
          </cell>
        </row>
        <row r="248">
          <cell r="F248">
            <v>24998.7</v>
          </cell>
          <cell r="G248">
            <v>0</v>
          </cell>
          <cell r="H248">
            <v>39222</v>
          </cell>
          <cell r="I248">
            <v>0</v>
          </cell>
        </row>
        <row r="249">
          <cell r="F249">
            <v>53934</v>
          </cell>
          <cell r="G249">
            <v>0</v>
          </cell>
          <cell r="H249">
            <v>47066</v>
          </cell>
          <cell r="I249">
            <v>0</v>
          </cell>
        </row>
        <row r="250">
          <cell r="G250">
            <v>0</v>
          </cell>
          <cell r="I250">
            <v>0</v>
          </cell>
        </row>
        <row r="252">
          <cell r="F252">
            <v>0</v>
          </cell>
          <cell r="G252">
            <v>0</v>
          </cell>
          <cell r="I252">
            <v>10000</v>
          </cell>
        </row>
        <row r="253">
          <cell r="F253">
            <v>0</v>
          </cell>
          <cell r="G253">
            <v>0</v>
          </cell>
          <cell r="I253">
            <v>15000</v>
          </cell>
        </row>
        <row r="254">
          <cell r="F254">
            <v>0</v>
          </cell>
          <cell r="G254">
            <v>0</v>
          </cell>
          <cell r="H254">
            <v>0</v>
          </cell>
          <cell r="I254">
            <v>0</v>
          </cell>
        </row>
        <row r="255">
          <cell r="F255">
            <v>0</v>
          </cell>
          <cell r="G255">
            <v>0</v>
          </cell>
          <cell r="H255">
            <v>0</v>
          </cell>
          <cell r="I255">
            <v>0</v>
          </cell>
        </row>
        <row r="258">
          <cell r="F258">
            <v>4798.2</v>
          </cell>
        </row>
        <row r="264">
          <cell r="F264">
            <v>0</v>
          </cell>
          <cell r="G264">
            <v>0</v>
          </cell>
          <cell r="H264">
            <v>0</v>
          </cell>
          <cell r="I264">
            <v>0</v>
          </cell>
        </row>
        <row r="265">
          <cell r="F265">
            <v>0</v>
          </cell>
          <cell r="G265">
            <v>0</v>
          </cell>
          <cell r="H265">
            <v>0</v>
          </cell>
          <cell r="I265">
            <v>0</v>
          </cell>
        </row>
        <row r="266">
          <cell r="F266">
            <v>40000</v>
          </cell>
          <cell r="G266">
            <v>0</v>
          </cell>
          <cell r="H266">
            <v>0</v>
          </cell>
          <cell r="I266">
            <v>0</v>
          </cell>
        </row>
        <row r="267">
          <cell r="F267">
            <v>68528.600000000006</v>
          </cell>
          <cell r="G267">
            <v>111471.4</v>
          </cell>
          <cell r="H267">
            <v>0</v>
          </cell>
          <cell r="I267">
            <v>0</v>
          </cell>
        </row>
        <row r="268">
          <cell r="F268">
            <v>114414.2</v>
          </cell>
          <cell r="G268">
            <v>111471.4</v>
          </cell>
          <cell r="H268">
            <v>0</v>
          </cell>
          <cell r="I268">
            <v>0</v>
          </cell>
        </row>
        <row r="270">
          <cell r="F270">
            <v>0</v>
          </cell>
          <cell r="G270">
            <v>0</v>
          </cell>
          <cell r="H270">
            <v>0</v>
          </cell>
          <cell r="I270">
            <v>10800</v>
          </cell>
        </row>
        <row r="271">
          <cell r="G271">
            <v>0</v>
          </cell>
          <cell r="I271">
            <v>0</v>
          </cell>
        </row>
        <row r="272">
          <cell r="F272">
            <v>213050</v>
          </cell>
          <cell r="G272">
            <v>0</v>
          </cell>
          <cell r="H272">
            <v>2152.1</v>
          </cell>
          <cell r="I272">
            <v>0</v>
          </cell>
        </row>
        <row r="273">
          <cell r="F273">
            <v>252829.8</v>
          </cell>
          <cell r="G273">
            <v>0</v>
          </cell>
          <cell r="H273">
            <v>2553.9</v>
          </cell>
          <cell r="I273">
            <v>0</v>
          </cell>
        </row>
        <row r="274">
          <cell r="F274">
            <v>0</v>
          </cell>
          <cell r="G274">
            <v>0</v>
          </cell>
          <cell r="H274">
            <v>0</v>
          </cell>
          <cell r="I274">
            <v>0</v>
          </cell>
        </row>
        <row r="276">
          <cell r="F276">
            <v>0</v>
          </cell>
          <cell r="G276">
            <v>0</v>
          </cell>
          <cell r="H276">
            <v>0</v>
          </cell>
          <cell r="I276">
            <v>0</v>
          </cell>
        </row>
        <row r="277">
          <cell r="G277">
            <v>0</v>
          </cell>
          <cell r="H277">
            <v>0</v>
          </cell>
          <cell r="I277">
            <v>0</v>
          </cell>
        </row>
        <row r="278">
          <cell r="F278">
            <v>5085</v>
          </cell>
          <cell r="G278">
            <v>0</v>
          </cell>
          <cell r="H278">
            <v>0</v>
          </cell>
          <cell r="I278">
            <v>0</v>
          </cell>
        </row>
        <row r="279">
          <cell r="F279">
            <v>0</v>
          </cell>
          <cell r="G279">
            <v>0</v>
          </cell>
          <cell r="H279">
            <v>0</v>
          </cell>
          <cell r="I279">
            <v>0</v>
          </cell>
        </row>
        <row r="280">
          <cell r="F280">
            <v>0</v>
          </cell>
          <cell r="G280">
            <v>0</v>
          </cell>
          <cell r="H280">
            <v>0</v>
          </cell>
          <cell r="I280">
            <v>0</v>
          </cell>
        </row>
        <row r="282">
          <cell r="F282">
            <v>0</v>
          </cell>
          <cell r="G282">
            <v>0</v>
          </cell>
          <cell r="H282">
            <v>0</v>
          </cell>
          <cell r="I282">
            <v>0</v>
          </cell>
        </row>
        <row r="283">
          <cell r="G283">
            <v>0</v>
          </cell>
          <cell r="H283">
            <v>0</v>
          </cell>
          <cell r="I283">
            <v>0</v>
          </cell>
        </row>
        <row r="284">
          <cell r="F284">
            <v>0</v>
          </cell>
          <cell r="G284">
            <v>0</v>
          </cell>
          <cell r="H284">
            <v>0</v>
          </cell>
          <cell r="I284">
            <v>0</v>
          </cell>
        </row>
        <row r="285">
          <cell r="F285">
            <v>0</v>
          </cell>
          <cell r="G285">
            <v>0</v>
          </cell>
          <cell r="H285">
            <v>0</v>
          </cell>
          <cell r="I285">
            <v>0</v>
          </cell>
        </row>
        <row r="288">
          <cell r="F288">
            <v>0</v>
          </cell>
          <cell r="G288">
            <v>0</v>
          </cell>
          <cell r="H288">
            <v>0</v>
          </cell>
          <cell r="I288">
            <v>0</v>
          </cell>
        </row>
        <row r="289">
          <cell r="F289">
            <v>0</v>
          </cell>
          <cell r="G289">
            <v>0</v>
          </cell>
          <cell r="H289">
            <v>0</v>
          </cell>
          <cell r="I289">
            <v>0</v>
          </cell>
        </row>
        <row r="290">
          <cell r="F290">
            <v>2527.4</v>
          </cell>
          <cell r="G290">
            <v>0</v>
          </cell>
          <cell r="H290">
            <v>0</v>
          </cell>
          <cell r="I290">
            <v>0</v>
          </cell>
        </row>
        <row r="291">
          <cell r="F291">
            <v>0</v>
          </cell>
          <cell r="G291">
            <v>0</v>
          </cell>
          <cell r="H291">
            <v>0</v>
          </cell>
          <cell r="I291">
            <v>0</v>
          </cell>
        </row>
        <row r="292">
          <cell r="F292">
            <v>0</v>
          </cell>
          <cell r="G292">
            <v>0</v>
          </cell>
          <cell r="H292">
            <v>0</v>
          </cell>
          <cell r="I292">
            <v>0</v>
          </cell>
        </row>
        <row r="294">
          <cell r="F294">
            <v>0</v>
          </cell>
          <cell r="G294">
            <v>0</v>
          </cell>
          <cell r="H294">
            <v>0</v>
          </cell>
          <cell r="I294">
            <v>0</v>
          </cell>
        </row>
        <row r="295">
          <cell r="F295">
            <v>0</v>
          </cell>
          <cell r="G295">
            <v>0</v>
          </cell>
          <cell r="H295">
            <v>0</v>
          </cell>
          <cell r="I295">
            <v>0</v>
          </cell>
        </row>
        <row r="296">
          <cell r="F296">
            <v>0</v>
          </cell>
          <cell r="G296">
            <v>0</v>
          </cell>
          <cell r="H296">
            <v>0</v>
          </cell>
          <cell r="I296">
            <v>0</v>
          </cell>
        </row>
        <row r="297">
          <cell r="F297">
            <v>0</v>
          </cell>
          <cell r="G297">
            <v>0</v>
          </cell>
          <cell r="H297">
            <v>0</v>
          </cell>
          <cell r="I297">
            <v>0</v>
          </cell>
        </row>
        <row r="298">
          <cell r="F298">
            <v>17840.400000000001</v>
          </cell>
          <cell r="G298">
            <v>0</v>
          </cell>
          <cell r="H298">
            <v>939</v>
          </cell>
          <cell r="I298">
            <v>0</v>
          </cell>
        </row>
        <row r="300">
          <cell r="F300">
            <v>73734.3</v>
          </cell>
          <cell r="G300">
            <v>11357.5</v>
          </cell>
          <cell r="H300">
            <v>3649.2</v>
          </cell>
          <cell r="I300">
            <v>0</v>
          </cell>
        </row>
        <row r="301">
          <cell r="F301">
            <v>50265.600000000006</v>
          </cell>
          <cell r="G301">
            <v>11265.5</v>
          </cell>
          <cell r="H301">
            <v>2720.8</v>
          </cell>
          <cell r="I301">
            <v>0</v>
          </cell>
        </row>
        <row r="302">
          <cell r="F302">
            <v>49477.8</v>
          </cell>
          <cell r="G302">
            <v>0</v>
          </cell>
          <cell r="H302">
            <v>2525.5</v>
          </cell>
          <cell r="I302">
            <v>0</v>
          </cell>
        </row>
        <row r="303">
          <cell r="F303">
            <v>67724.5</v>
          </cell>
          <cell r="G303">
            <v>0</v>
          </cell>
          <cell r="H303">
            <v>5192.7</v>
          </cell>
          <cell r="I303">
            <v>0</v>
          </cell>
        </row>
        <row r="304">
          <cell r="F304">
            <v>6000</v>
          </cell>
          <cell r="G304">
            <v>0</v>
          </cell>
          <cell r="H304">
            <v>0</v>
          </cell>
          <cell r="I304">
            <v>0</v>
          </cell>
        </row>
        <row r="306">
          <cell r="E306">
            <v>9000</v>
          </cell>
          <cell r="F306">
            <v>9000</v>
          </cell>
          <cell r="G306">
            <v>0</v>
          </cell>
          <cell r="H306">
            <v>0</v>
          </cell>
          <cell r="I306">
            <v>0</v>
          </cell>
        </row>
        <row r="307">
          <cell r="E307">
            <v>6000</v>
          </cell>
          <cell r="F307">
            <v>6000</v>
          </cell>
          <cell r="G307">
            <v>0</v>
          </cell>
          <cell r="H307">
            <v>0</v>
          </cell>
          <cell r="I307">
            <v>0</v>
          </cell>
        </row>
        <row r="308">
          <cell r="E308">
            <v>6000</v>
          </cell>
          <cell r="F308">
            <v>6000</v>
          </cell>
          <cell r="G308">
            <v>0</v>
          </cell>
          <cell r="H308">
            <v>0</v>
          </cell>
          <cell r="I308">
            <v>0</v>
          </cell>
        </row>
        <row r="309">
          <cell r="E309">
            <v>6000</v>
          </cell>
          <cell r="F309">
            <v>6000</v>
          </cell>
          <cell r="G309">
            <v>0</v>
          </cell>
          <cell r="H309">
            <v>0</v>
          </cell>
          <cell r="I309">
            <v>0</v>
          </cell>
        </row>
        <row r="310">
          <cell r="E310">
            <v>6000</v>
          </cell>
          <cell r="F310">
            <v>6000</v>
          </cell>
          <cell r="G310">
            <v>0</v>
          </cell>
          <cell r="H310">
            <v>0</v>
          </cell>
          <cell r="I310">
            <v>0</v>
          </cell>
        </row>
        <row r="318">
          <cell r="E318">
            <v>2392.1</v>
          </cell>
          <cell r="F318">
            <v>2272.5</v>
          </cell>
          <cell r="G318">
            <v>0</v>
          </cell>
          <cell r="H318">
            <v>119.6</v>
          </cell>
          <cell r="I318">
            <v>0</v>
          </cell>
        </row>
        <row r="319">
          <cell r="E319">
            <v>0</v>
          </cell>
          <cell r="F319">
            <v>0</v>
          </cell>
          <cell r="G319">
            <v>0</v>
          </cell>
          <cell r="H319">
            <v>0</v>
          </cell>
          <cell r="I319">
            <v>0</v>
          </cell>
        </row>
        <row r="320">
          <cell r="E320">
            <v>0</v>
          </cell>
          <cell r="F320">
            <v>0</v>
          </cell>
          <cell r="G320">
            <v>0</v>
          </cell>
          <cell r="H320">
            <v>0</v>
          </cell>
          <cell r="I320">
            <v>0</v>
          </cell>
        </row>
        <row r="321">
          <cell r="E321">
            <v>0</v>
          </cell>
          <cell r="F321">
            <v>0</v>
          </cell>
          <cell r="G321">
            <v>0</v>
          </cell>
          <cell r="H321">
            <v>0</v>
          </cell>
          <cell r="I321">
            <v>0</v>
          </cell>
        </row>
        <row r="322">
          <cell r="E322">
            <v>0</v>
          </cell>
          <cell r="F322">
            <v>0</v>
          </cell>
          <cell r="G322">
            <v>0</v>
          </cell>
          <cell r="H322">
            <v>0</v>
          </cell>
          <cell r="I322">
            <v>0</v>
          </cell>
        </row>
        <row r="324">
          <cell r="E324">
            <v>2156.7000000000003</v>
          </cell>
          <cell r="F324">
            <v>2048.9</v>
          </cell>
          <cell r="G324">
            <v>0</v>
          </cell>
          <cell r="H324">
            <v>107.8</v>
          </cell>
          <cell r="I324">
            <v>0</v>
          </cell>
        </row>
        <row r="325">
          <cell r="E325">
            <v>0</v>
          </cell>
          <cell r="F325">
            <v>0</v>
          </cell>
          <cell r="G325">
            <v>0</v>
          </cell>
          <cell r="H325">
            <v>0</v>
          </cell>
          <cell r="I325">
            <v>0</v>
          </cell>
        </row>
        <row r="326">
          <cell r="E326">
            <v>0</v>
          </cell>
          <cell r="F326">
            <v>0</v>
          </cell>
          <cell r="G326">
            <v>0</v>
          </cell>
          <cell r="H326">
            <v>0</v>
          </cell>
          <cell r="I326">
            <v>0</v>
          </cell>
        </row>
        <row r="327">
          <cell r="E327">
            <v>0</v>
          </cell>
          <cell r="F327">
            <v>0</v>
          </cell>
          <cell r="G327">
            <v>0</v>
          </cell>
          <cell r="H327">
            <v>0</v>
          </cell>
          <cell r="I327">
            <v>0</v>
          </cell>
        </row>
        <row r="328">
          <cell r="E328">
            <v>0</v>
          </cell>
          <cell r="F328">
            <v>0</v>
          </cell>
          <cell r="G328">
            <v>0</v>
          </cell>
          <cell r="H328">
            <v>0</v>
          </cell>
          <cell r="I328">
            <v>0</v>
          </cell>
        </row>
        <row r="330">
          <cell r="E330">
            <v>5977.5</v>
          </cell>
          <cell r="F330">
            <v>5678.6</v>
          </cell>
          <cell r="G330">
            <v>0</v>
          </cell>
          <cell r="H330">
            <v>298.89999999999998</v>
          </cell>
          <cell r="I330">
            <v>0</v>
          </cell>
        </row>
        <row r="331">
          <cell r="E331">
            <v>0</v>
          </cell>
          <cell r="F331">
            <v>0</v>
          </cell>
          <cell r="G331">
            <v>0</v>
          </cell>
          <cell r="H331">
            <v>0</v>
          </cell>
          <cell r="I331">
            <v>0</v>
          </cell>
        </row>
        <row r="332">
          <cell r="E332">
            <v>0</v>
          </cell>
          <cell r="F332">
            <v>0</v>
          </cell>
          <cell r="G332">
            <v>0</v>
          </cell>
          <cell r="H332">
            <v>0</v>
          </cell>
          <cell r="I332">
            <v>0</v>
          </cell>
        </row>
        <row r="333">
          <cell r="E333">
            <v>0</v>
          </cell>
          <cell r="F333">
            <v>0</v>
          </cell>
          <cell r="G333">
            <v>0</v>
          </cell>
          <cell r="H333">
            <v>0</v>
          </cell>
          <cell r="I333">
            <v>0</v>
          </cell>
        </row>
        <row r="334">
          <cell r="E334">
            <v>0</v>
          </cell>
          <cell r="F334">
            <v>0</v>
          </cell>
          <cell r="G334">
            <v>0</v>
          </cell>
          <cell r="H334">
            <v>0</v>
          </cell>
          <cell r="I334">
            <v>0</v>
          </cell>
        </row>
        <row r="342">
          <cell r="E342">
            <v>11957.5</v>
          </cell>
          <cell r="F342">
            <v>0</v>
          </cell>
          <cell r="G342">
            <v>11357.5</v>
          </cell>
          <cell r="H342">
            <v>600</v>
          </cell>
          <cell r="I342">
            <v>0</v>
          </cell>
        </row>
        <row r="343">
          <cell r="E343">
            <v>11265.5</v>
          </cell>
          <cell r="F343">
            <v>0</v>
          </cell>
          <cell r="G343">
            <v>11265.5</v>
          </cell>
          <cell r="H343">
            <v>0</v>
          </cell>
          <cell r="I343">
            <v>0</v>
          </cell>
        </row>
        <row r="344">
          <cell r="E344">
            <v>0</v>
          </cell>
          <cell r="F344">
            <v>0</v>
          </cell>
          <cell r="G344">
            <v>0</v>
          </cell>
          <cell r="H344">
            <v>0</v>
          </cell>
          <cell r="I344">
            <v>0</v>
          </cell>
        </row>
        <row r="345">
          <cell r="E345">
            <v>0</v>
          </cell>
          <cell r="F345">
            <v>0</v>
          </cell>
          <cell r="G345">
            <v>0</v>
          </cell>
          <cell r="H345">
            <v>0</v>
          </cell>
          <cell r="I345">
            <v>0</v>
          </cell>
        </row>
        <row r="346">
          <cell r="E346">
            <v>0</v>
          </cell>
          <cell r="F346">
            <v>0</v>
          </cell>
          <cell r="G346">
            <v>0</v>
          </cell>
          <cell r="H346">
            <v>0</v>
          </cell>
          <cell r="I346">
            <v>0</v>
          </cell>
        </row>
        <row r="348">
          <cell r="E348">
            <v>6327</v>
          </cell>
          <cell r="F348">
            <v>6327</v>
          </cell>
          <cell r="G348">
            <v>0</v>
          </cell>
          <cell r="H348">
            <v>0</v>
          </cell>
          <cell r="I348">
            <v>0</v>
          </cell>
        </row>
        <row r="349">
          <cell r="E349">
            <v>0</v>
          </cell>
          <cell r="F349">
            <v>0</v>
          </cell>
          <cell r="G349">
            <v>0</v>
          </cell>
          <cell r="H349">
            <v>0</v>
          </cell>
          <cell r="I349">
            <v>0</v>
          </cell>
        </row>
        <row r="350">
          <cell r="E350">
            <v>0</v>
          </cell>
          <cell r="F350">
            <v>0</v>
          </cell>
          <cell r="G350">
            <v>0</v>
          </cell>
          <cell r="H350">
            <v>0</v>
          </cell>
          <cell r="I350">
            <v>0</v>
          </cell>
        </row>
        <row r="351">
          <cell r="E351">
            <v>0</v>
          </cell>
          <cell r="F351">
            <v>0</v>
          </cell>
          <cell r="G351">
            <v>0</v>
          </cell>
          <cell r="H351">
            <v>0</v>
          </cell>
          <cell r="I351">
            <v>0</v>
          </cell>
        </row>
        <row r="352">
          <cell r="E352">
            <v>0</v>
          </cell>
          <cell r="F352">
            <v>0</v>
          </cell>
          <cell r="G352">
            <v>0</v>
          </cell>
          <cell r="H352">
            <v>0</v>
          </cell>
          <cell r="I352">
            <v>0</v>
          </cell>
        </row>
        <row r="354">
          <cell r="E354">
            <v>600</v>
          </cell>
          <cell r="F354">
            <v>600</v>
          </cell>
          <cell r="G354">
            <v>0</v>
          </cell>
          <cell r="H354">
            <v>0</v>
          </cell>
          <cell r="I354">
            <v>0</v>
          </cell>
        </row>
        <row r="355">
          <cell r="E355">
            <v>0</v>
          </cell>
          <cell r="F355">
            <v>0</v>
          </cell>
          <cell r="G355">
            <v>0</v>
          </cell>
          <cell r="H355">
            <v>0</v>
          </cell>
          <cell r="I355">
            <v>0</v>
          </cell>
        </row>
        <row r="356">
          <cell r="E356">
            <v>0</v>
          </cell>
          <cell r="F356">
            <v>0</v>
          </cell>
          <cell r="G356">
            <v>0</v>
          </cell>
          <cell r="H356">
            <v>0</v>
          </cell>
          <cell r="I356">
            <v>0</v>
          </cell>
        </row>
        <row r="357">
          <cell r="E357">
            <v>0</v>
          </cell>
          <cell r="F357">
            <v>0</v>
          </cell>
          <cell r="G357">
            <v>0</v>
          </cell>
          <cell r="H357">
            <v>0</v>
          </cell>
          <cell r="I357">
            <v>0</v>
          </cell>
        </row>
        <row r="358">
          <cell r="E358">
            <v>0</v>
          </cell>
          <cell r="F358">
            <v>0</v>
          </cell>
          <cell r="G358">
            <v>0</v>
          </cell>
          <cell r="H358">
            <v>0</v>
          </cell>
          <cell r="I358">
            <v>0</v>
          </cell>
        </row>
        <row r="366">
          <cell r="E366">
            <v>0</v>
          </cell>
          <cell r="F366">
            <v>0</v>
          </cell>
          <cell r="G366">
            <v>0</v>
          </cell>
          <cell r="H366">
            <v>0</v>
          </cell>
          <cell r="I366">
            <v>0</v>
          </cell>
        </row>
        <row r="367">
          <cell r="E367">
            <v>2086.5</v>
          </cell>
          <cell r="F367">
            <v>1936.5</v>
          </cell>
          <cell r="G367">
            <v>0</v>
          </cell>
          <cell r="H367">
            <v>150</v>
          </cell>
          <cell r="I367">
            <v>0</v>
          </cell>
        </row>
        <row r="368">
          <cell r="E368">
            <v>0</v>
          </cell>
          <cell r="F368">
            <v>0</v>
          </cell>
          <cell r="G368">
            <v>0</v>
          </cell>
          <cell r="H368">
            <v>0</v>
          </cell>
          <cell r="I368">
            <v>0</v>
          </cell>
        </row>
        <row r="369">
          <cell r="E369">
            <v>0</v>
          </cell>
          <cell r="F369">
            <v>0</v>
          </cell>
          <cell r="G369">
            <v>0</v>
          </cell>
          <cell r="H369">
            <v>0</v>
          </cell>
          <cell r="I369">
            <v>0</v>
          </cell>
        </row>
        <row r="370">
          <cell r="E370">
            <v>0</v>
          </cell>
          <cell r="F370">
            <v>0</v>
          </cell>
          <cell r="G370">
            <v>0</v>
          </cell>
          <cell r="H370">
            <v>0</v>
          </cell>
          <cell r="I370">
            <v>0</v>
          </cell>
        </row>
        <row r="372">
          <cell r="E372">
            <v>0</v>
          </cell>
          <cell r="F372">
            <v>0</v>
          </cell>
          <cell r="G372">
            <v>0</v>
          </cell>
          <cell r="H372">
            <v>0</v>
          </cell>
          <cell r="I372">
            <v>0</v>
          </cell>
        </row>
        <row r="373">
          <cell r="E373">
            <v>25409</v>
          </cell>
          <cell r="F373">
            <v>23838.2</v>
          </cell>
          <cell r="G373">
            <v>0</v>
          </cell>
          <cell r="H373">
            <v>1570.8</v>
          </cell>
          <cell r="I373">
            <v>0</v>
          </cell>
        </row>
        <row r="374">
          <cell r="E374">
            <v>0</v>
          </cell>
          <cell r="F374">
            <v>0</v>
          </cell>
          <cell r="G374">
            <v>0</v>
          </cell>
          <cell r="H374">
            <v>0</v>
          </cell>
          <cell r="I374">
            <v>0</v>
          </cell>
        </row>
        <row r="375">
          <cell r="E375">
            <v>0</v>
          </cell>
          <cell r="F375">
            <v>0</v>
          </cell>
          <cell r="G375">
            <v>0</v>
          </cell>
          <cell r="H375">
            <v>0</v>
          </cell>
          <cell r="I375">
            <v>0</v>
          </cell>
        </row>
        <row r="376">
          <cell r="E376">
            <v>0</v>
          </cell>
          <cell r="F376">
            <v>0</v>
          </cell>
          <cell r="G376">
            <v>0</v>
          </cell>
          <cell r="H376">
            <v>0</v>
          </cell>
          <cell r="I376">
            <v>0</v>
          </cell>
        </row>
        <row r="384">
          <cell r="E384">
            <v>0</v>
          </cell>
          <cell r="F384">
            <v>0</v>
          </cell>
          <cell r="G384">
            <v>0</v>
          </cell>
          <cell r="H384">
            <v>0</v>
          </cell>
          <cell r="I384">
            <v>0</v>
          </cell>
        </row>
        <row r="385">
          <cell r="E385">
            <v>0</v>
          </cell>
          <cell r="F385">
            <v>0</v>
          </cell>
          <cell r="G385">
            <v>0</v>
          </cell>
          <cell r="H385">
            <v>0</v>
          </cell>
          <cell r="I385">
            <v>0</v>
          </cell>
        </row>
        <row r="386">
          <cell r="E386">
            <v>6633.9</v>
          </cell>
          <cell r="F386">
            <v>6302.2</v>
          </cell>
          <cell r="G386">
            <v>0</v>
          </cell>
          <cell r="H386">
            <v>331.7</v>
          </cell>
          <cell r="I386">
            <v>0</v>
          </cell>
        </row>
        <row r="387">
          <cell r="E387">
            <v>0</v>
          </cell>
          <cell r="F387">
            <v>0</v>
          </cell>
          <cell r="G387">
            <v>0</v>
          </cell>
          <cell r="H387">
            <v>0</v>
          </cell>
          <cell r="I387">
            <v>0</v>
          </cell>
        </row>
        <row r="388">
          <cell r="E388">
            <v>0</v>
          </cell>
          <cell r="F388">
            <v>0</v>
          </cell>
          <cell r="G388">
            <v>0</v>
          </cell>
          <cell r="H388">
            <v>0</v>
          </cell>
          <cell r="I388">
            <v>0</v>
          </cell>
        </row>
        <row r="414">
          <cell r="F414">
            <v>0</v>
          </cell>
          <cell r="G414">
            <v>0</v>
          </cell>
          <cell r="H414">
            <v>0</v>
          </cell>
          <cell r="I414">
            <v>0</v>
          </cell>
        </row>
        <row r="415">
          <cell r="F415">
            <v>0</v>
          </cell>
          <cell r="G415">
            <v>0</v>
          </cell>
          <cell r="H415">
            <v>0</v>
          </cell>
          <cell r="I415">
            <v>0</v>
          </cell>
        </row>
        <row r="416">
          <cell r="F416">
            <v>0</v>
          </cell>
          <cell r="G416">
            <v>0</v>
          </cell>
          <cell r="H416">
            <v>10000</v>
          </cell>
          <cell r="I416">
            <v>0</v>
          </cell>
        </row>
        <row r="417">
          <cell r="F417">
            <v>60000</v>
          </cell>
          <cell r="G417">
            <v>0</v>
          </cell>
          <cell r="H417">
            <v>60000</v>
          </cell>
          <cell r="I417">
            <v>28300</v>
          </cell>
        </row>
        <row r="418">
          <cell r="F418">
            <v>62350</v>
          </cell>
          <cell r="G418">
            <v>0</v>
          </cell>
          <cell r="H418">
            <v>62350</v>
          </cell>
          <cell r="I418">
            <v>0</v>
          </cell>
        </row>
        <row r="420">
          <cell r="F420">
            <v>0</v>
          </cell>
          <cell r="G420">
            <v>0</v>
          </cell>
          <cell r="H420">
            <v>0</v>
          </cell>
          <cell r="I420">
            <v>0</v>
          </cell>
        </row>
        <row r="421">
          <cell r="F421">
            <v>0</v>
          </cell>
          <cell r="G421">
            <v>0</v>
          </cell>
          <cell r="H421">
            <v>0</v>
          </cell>
          <cell r="I421">
            <v>0</v>
          </cell>
        </row>
        <row r="422">
          <cell r="F422">
            <v>0</v>
          </cell>
          <cell r="G422">
            <v>0</v>
          </cell>
          <cell r="H422">
            <v>10000</v>
          </cell>
          <cell r="I422">
            <v>0</v>
          </cell>
        </row>
        <row r="423">
          <cell r="F423">
            <v>60000</v>
          </cell>
          <cell r="G423">
            <v>0</v>
          </cell>
          <cell r="H423">
            <v>60000</v>
          </cell>
          <cell r="I423">
            <v>28300</v>
          </cell>
        </row>
        <row r="424">
          <cell r="F424">
            <v>62350</v>
          </cell>
          <cell r="G424">
            <v>0</v>
          </cell>
          <cell r="H424">
            <v>62350</v>
          </cell>
          <cell r="I424">
            <v>0</v>
          </cell>
        </row>
        <row r="426">
          <cell r="E426">
            <v>25539.5</v>
          </cell>
          <cell r="F426">
            <v>25539.5</v>
          </cell>
          <cell r="G426">
            <v>0</v>
          </cell>
          <cell r="H426">
            <v>0</v>
          </cell>
          <cell r="I426">
            <v>0</v>
          </cell>
        </row>
        <row r="427">
          <cell r="E427">
            <v>25743.200000000001</v>
          </cell>
          <cell r="F427">
            <v>25743.200000000001</v>
          </cell>
          <cell r="G427">
            <v>0</v>
          </cell>
          <cell r="H427">
            <v>0</v>
          </cell>
          <cell r="I427">
            <v>0</v>
          </cell>
        </row>
        <row r="428">
          <cell r="E428">
            <v>28265.200000000001</v>
          </cell>
          <cell r="F428">
            <v>28265.200000000001</v>
          </cell>
          <cell r="G428">
            <v>0</v>
          </cell>
          <cell r="H428">
            <v>0</v>
          </cell>
          <cell r="I428">
            <v>0</v>
          </cell>
        </row>
        <row r="429">
          <cell r="E429">
            <v>27726</v>
          </cell>
          <cell r="F429">
            <v>27726</v>
          </cell>
          <cell r="G429">
            <v>0</v>
          </cell>
          <cell r="H429">
            <v>0</v>
          </cell>
          <cell r="I429">
            <v>0</v>
          </cell>
        </row>
        <row r="430">
          <cell r="E430">
            <v>28769.5</v>
          </cell>
          <cell r="F430">
            <v>28769.5</v>
          </cell>
          <cell r="G430">
            <v>0</v>
          </cell>
          <cell r="H430">
            <v>0</v>
          </cell>
          <cell r="I430">
            <v>0</v>
          </cell>
        </row>
        <row r="432">
          <cell r="E432">
            <v>25539.5</v>
          </cell>
          <cell r="F432">
            <v>25539.5</v>
          </cell>
          <cell r="G432">
            <v>0</v>
          </cell>
          <cell r="H432">
            <v>0</v>
          </cell>
          <cell r="I432">
            <v>0</v>
          </cell>
        </row>
        <row r="433">
          <cell r="E433">
            <v>25743.200000000001</v>
          </cell>
          <cell r="F433">
            <v>25743.200000000001</v>
          </cell>
          <cell r="G433">
            <v>0</v>
          </cell>
          <cell r="H433">
            <v>0</v>
          </cell>
          <cell r="I433">
            <v>0</v>
          </cell>
        </row>
        <row r="434">
          <cell r="E434">
            <v>28265.200000000001</v>
          </cell>
          <cell r="F434">
            <v>28265.200000000001</v>
          </cell>
          <cell r="G434">
            <v>0</v>
          </cell>
          <cell r="H434">
            <v>0</v>
          </cell>
          <cell r="I434">
            <v>0</v>
          </cell>
        </row>
        <row r="435">
          <cell r="E435">
            <v>27726</v>
          </cell>
          <cell r="F435">
            <v>27726</v>
          </cell>
          <cell r="G435">
            <v>0</v>
          </cell>
          <cell r="H435">
            <v>0</v>
          </cell>
          <cell r="I435">
            <v>0</v>
          </cell>
        </row>
        <row r="436">
          <cell r="E436">
            <v>28769.5</v>
          </cell>
          <cell r="F436">
            <v>28769.5</v>
          </cell>
          <cell r="G436">
            <v>0</v>
          </cell>
          <cell r="H436">
            <v>0</v>
          </cell>
          <cell r="I43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12б. Справка"/>
      <sheetName val="Пр14. План"/>
    </sheetNames>
    <sheetDataSet>
      <sheetData sheetId="0"/>
      <sheetData sheetId="1">
        <row r="14">
          <cell r="F14">
            <v>20666.400000000001</v>
          </cell>
          <cell r="G14">
            <v>0</v>
          </cell>
        </row>
        <row r="110">
          <cell r="F110">
            <v>351200.10000000003</v>
          </cell>
          <cell r="G110">
            <v>7343.2</v>
          </cell>
        </row>
        <row r="694">
          <cell r="F694">
            <v>15000</v>
          </cell>
        </row>
        <row r="801">
          <cell r="F801">
            <v>0</v>
          </cell>
        </row>
        <row r="817">
          <cell r="G817">
            <v>8421</v>
          </cell>
        </row>
        <row r="825">
          <cell r="F825">
            <v>200</v>
          </cell>
        </row>
        <row r="833">
          <cell r="F833">
            <v>1457</v>
          </cell>
        </row>
        <row r="841">
          <cell r="F841">
            <v>1491.3</v>
          </cell>
        </row>
        <row r="849">
          <cell r="F849">
            <v>2676.9</v>
          </cell>
        </row>
        <row r="857">
          <cell r="F857">
            <v>323</v>
          </cell>
        </row>
        <row r="865">
          <cell r="F865">
            <v>0</v>
          </cell>
        </row>
        <row r="889">
          <cell r="F889">
            <v>25437.3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Изменения 2017 Минфин"/>
      <sheetName val="8 План18-20-1"/>
      <sheetName val="8 План18-20-5"/>
      <sheetName val="10б. Справка"/>
      <sheetName val="8 План18-20-4"/>
      <sheetName val="10в ОКС"/>
      <sheetName val="4. ОКС 18-20-4"/>
      <sheetName val="Сводная"/>
      <sheetName val="11а. Спр пок"/>
      <sheetName val="10 б спорт"/>
      <sheetName val="10 в спорт"/>
      <sheetName val="ПЛ реализации спорт"/>
      <sheetName val="Лист1"/>
      <sheetName val="Лист3"/>
      <sheetName val="8 План16-20"/>
      <sheetName val="4. ОКС 16-19-3"/>
      <sheetName val="Пр8 16-19 (2)"/>
    </sheetNames>
    <sheetDataSet>
      <sheetData sheetId="0" refreshError="1"/>
      <sheetData sheetId="1">
        <row r="128">
          <cell r="G128">
            <v>0</v>
          </cell>
          <cell r="H128">
            <v>0</v>
          </cell>
          <cell r="I128">
            <v>0</v>
          </cell>
        </row>
        <row r="129">
          <cell r="G129">
            <v>0</v>
          </cell>
          <cell r="H129">
            <v>0</v>
          </cell>
          <cell r="I129">
            <v>0</v>
          </cell>
        </row>
        <row r="130">
          <cell r="G130">
            <v>0</v>
          </cell>
          <cell r="H130">
            <v>0</v>
          </cell>
          <cell r="I130">
            <v>0</v>
          </cell>
        </row>
        <row r="131">
          <cell r="G131">
            <v>0</v>
          </cell>
          <cell r="H131">
            <v>0</v>
          </cell>
          <cell r="I131">
            <v>0</v>
          </cell>
        </row>
        <row r="132">
          <cell r="G132">
            <v>0</v>
          </cell>
          <cell r="H132">
            <v>0</v>
          </cell>
          <cell r="I132">
            <v>0</v>
          </cell>
        </row>
        <row r="136">
          <cell r="G136">
            <v>0</v>
          </cell>
          <cell r="H136">
            <v>0</v>
          </cell>
          <cell r="I136">
            <v>0</v>
          </cell>
        </row>
        <row r="137">
          <cell r="G137">
            <v>0</v>
          </cell>
          <cell r="H137">
            <v>0</v>
          </cell>
          <cell r="I137">
            <v>0</v>
          </cell>
        </row>
        <row r="138">
          <cell r="G138">
            <v>0</v>
          </cell>
          <cell r="H138">
            <v>0</v>
          </cell>
          <cell r="I138">
            <v>0</v>
          </cell>
        </row>
        <row r="139">
          <cell r="G139">
            <v>0</v>
          </cell>
          <cell r="H139">
            <v>0</v>
          </cell>
          <cell r="I139">
            <v>0</v>
          </cell>
        </row>
        <row r="140">
          <cell r="G140">
            <v>0</v>
          </cell>
          <cell r="H140">
            <v>0</v>
          </cell>
          <cell r="I140">
            <v>0</v>
          </cell>
        </row>
        <row r="176">
          <cell r="G176">
            <v>0</v>
          </cell>
          <cell r="H176">
            <v>0</v>
          </cell>
          <cell r="I176">
            <v>0</v>
          </cell>
        </row>
        <row r="177">
          <cell r="G177">
            <v>0</v>
          </cell>
          <cell r="H177">
            <v>0</v>
          </cell>
          <cell r="I177">
            <v>0</v>
          </cell>
        </row>
        <row r="178">
          <cell r="G178">
            <v>0</v>
          </cell>
          <cell r="H178">
            <v>0</v>
          </cell>
          <cell r="I178">
            <v>0</v>
          </cell>
        </row>
        <row r="179">
          <cell r="G179">
            <v>0</v>
          </cell>
          <cell r="H179">
            <v>0</v>
          </cell>
          <cell r="I179">
            <v>0</v>
          </cell>
        </row>
        <row r="180">
          <cell r="G180">
            <v>0</v>
          </cell>
          <cell r="H180">
            <v>0</v>
          </cell>
          <cell r="I180">
            <v>0</v>
          </cell>
        </row>
        <row r="232">
          <cell r="G232">
            <v>0</v>
          </cell>
          <cell r="H232">
            <v>0</v>
          </cell>
          <cell r="I232">
            <v>0</v>
          </cell>
        </row>
        <row r="233">
          <cell r="G233">
            <v>0</v>
          </cell>
          <cell r="H233">
            <v>0</v>
          </cell>
          <cell r="I233">
            <v>0</v>
          </cell>
        </row>
        <row r="234">
          <cell r="G234">
            <v>0</v>
          </cell>
          <cell r="H234">
            <v>0</v>
          </cell>
          <cell r="I234">
            <v>0</v>
          </cell>
        </row>
        <row r="240">
          <cell r="G240">
            <v>0</v>
          </cell>
          <cell r="H240">
            <v>0</v>
          </cell>
          <cell r="I240">
            <v>0</v>
          </cell>
        </row>
        <row r="241">
          <cell r="G241">
            <v>0</v>
          </cell>
          <cell r="H241">
            <v>0</v>
          </cell>
          <cell r="I241">
            <v>0</v>
          </cell>
        </row>
        <row r="242">
          <cell r="G242">
            <v>0</v>
          </cell>
          <cell r="H242">
            <v>0</v>
          </cell>
          <cell r="I242">
            <v>0</v>
          </cell>
        </row>
        <row r="248">
          <cell r="G248">
            <v>0</v>
          </cell>
          <cell r="H248">
            <v>0</v>
          </cell>
          <cell r="I248">
            <v>0</v>
          </cell>
        </row>
        <row r="249">
          <cell r="G249">
            <v>0</v>
          </cell>
          <cell r="H249">
            <v>0</v>
          </cell>
          <cell r="I249">
            <v>0</v>
          </cell>
        </row>
        <row r="250">
          <cell r="G250">
            <v>0</v>
          </cell>
          <cell r="H250">
            <v>0</v>
          </cell>
          <cell r="I250">
            <v>0</v>
          </cell>
        </row>
        <row r="256">
          <cell r="G256">
            <v>0</v>
          </cell>
          <cell r="H256">
            <v>0</v>
          </cell>
          <cell r="I256">
            <v>0</v>
          </cell>
        </row>
        <row r="257">
          <cell r="G257">
            <v>0</v>
          </cell>
          <cell r="H257">
            <v>0</v>
          </cell>
          <cell r="I257">
            <v>0</v>
          </cell>
        </row>
        <row r="258">
          <cell r="G258">
            <v>0</v>
          </cell>
          <cell r="H258">
            <v>0</v>
          </cell>
          <cell r="I258">
            <v>0</v>
          </cell>
        </row>
        <row r="264">
          <cell r="G264">
            <v>0</v>
          </cell>
          <cell r="H264">
            <v>0</v>
          </cell>
          <cell r="I264">
            <v>0</v>
          </cell>
        </row>
        <row r="265">
          <cell r="G265">
            <v>0</v>
          </cell>
          <cell r="H265">
            <v>0</v>
          </cell>
          <cell r="I265">
            <v>0</v>
          </cell>
        </row>
        <row r="266">
          <cell r="G266">
            <v>0</v>
          </cell>
          <cell r="H266">
            <v>0</v>
          </cell>
          <cell r="I266">
            <v>0</v>
          </cell>
        </row>
        <row r="272">
          <cell r="G272">
            <v>0</v>
          </cell>
          <cell r="H272">
            <v>0</v>
          </cell>
          <cell r="I272">
            <v>0</v>
          </cell>
        </row>
        <row r="273">
          <cell r="G273">
            <v>0</v>
          </cell>
          <cell r="H273">
            <v>0</v>
          </cell>
          <cell r="I273">
            <v>0</v>
          </cell>
        </row>
        <row r="274">
          <cell r="G274">
            <v>0</v>
          </cell>
          <cell r="H274">
            <v>0</v>
          </cell>
          <cell r="I274">
            <v>0</v>
          </cell>
        </row>
        <row r="280">
          <cell r="G280">
            <v>0</v>
          </cell>
          <cell r="H280">
            <v>0</v>
          </cell>
          <cell r="I280">
            <v>0</v>
          </cell>
        </row>
        <row r="281">
          <cell r="G281">
            <v>0</v>
          </cell>
          <cell r="H281">
            <v>0</v>
          </cell>
          <cell r="I281">
            <v>0</v>
          </cell>
        </row>
        <row r="282">
          <cell r="G282">
            <v>0</v>
          </cell>
          <cell r="H282">
            <v>0</v>
          </cell>
          <cell r="I282">
            <v>0</v>
          </cell>
        </row>
        <row r="288">
          <cell r="G288">
            <v>0</v>
          </cell>
          <cell r="H288">
            <v>0</v>
          </cell>
          <cell r="I288">
            <v>0</v>
          </cell>
        </row>
        <row r="289">
          <cell r="G289">
            <v>0</v>
          </cell>
          <cell r="H289">
            <v>0</v>
          </cell>
          <cell r="I289">
            <v>0</v>
          </cell>
        </row>
        <row r="290">
          <cell r="G290">
            <v>0</v>
          </cell>
          <cell r="H290">
            <v>0</v>
          </cell>
          <cell r="I290">
            <v>0</v>
          </cell>
        </row>
        <row r="296">
          <cell r="G296">
            <v>0</v>
          </cell>
          <cell r="H296">
            <v>0</v>
          </cell>
          <cell r="I296">
            <v>0</v>
          </cell>
        </row>
        <row r="297">
          <cell r="G297">
            <v>0</v>
          </cell>
          <cell r="H297">
            <v>0</v>
          </cell>
          <cell r="I297">
            <v>0</v>
          </cell>
        </row>
        <row r="298">
          <cell r="G298">
            <v>0</v>
          </cell>
          <cell r="H298">
            <v>0</v>
          </cell>
          <cell r="I298">
            <v>0</v>
          </cell>
        </row>
        <row r="304">
          <cell r="G304">
            <v>0</v>
          </cell>
          <cell r="H304">
            <v>0</v>
          </cell>
          <cell r="I304">
            <v>0</v>
          </cell>
        </row>
        <row r="305">
          <cell r="G305">
            <v>0</v>
          </cell>
          <cell r="H305">
            <v>0</v>
          </cell>
          <cell r="I305">
            <v>0</v>
          </cell>
        </row>
        <row r="306">
          <cell r="G306">
            <v>0</v>
          </cell>
          <cell r="H306">
            <v>0</v>
          </cell>
          <cell r="I306">
            <v>0</v>
          </cell>
        </row>
        <row r="312">
          <cell r="G312">
            <v>0</v>
          </cell>
          <cell r="H312">
            <v>0</v>
          </cell>
          <cell r="I312">
            <v>0</v>
          </cell>
        </row>
        <row r="313">
          <cell r="G313">
            <v>0</v>
          </cell>
          <cell r="H313">
            <v>0</v>
          </cell>
          <cell r="I313">
            <v>0</v>
          </cell>
        </row>
        <row r="314">
          <cell r="G314">
            <v>0</v>
          </cell>
          <cell r="H314">
            <v>0</v>
          </cell>
          <cell r="I314">
            <v>0</v>
          </cell>
        </row>
        <row r="320">
          <cell r="G320">
            <v>0</v>
          </cell>
          <cell r="H320">
            <v>0</v>
          </cell>
          <cell r="I320">
            <v>0</v>
          </cell>
        </row>
        <row r="321">
          <cell r="G321">
            <v>0</v>
          </cell>
          <cell r="H321">
            <v>0</v>
          </cell>
          <cell r="I321">
            <v>0</v>
          </cell>
        </row>
        <row r="322">
          <cell r="G322">
            <v>0</v>
          </cell>
          <cell r="H322">
            <v>0</v>
          </cell>
          <cell r="I322">
            <v>0</v>
          </cell>
        </row>
        <row r="328">
          <cell r="G328">
            <v>0</v>
          </cell>
          <cell r="H328">
            <v>0</v>
          </cell>
          <cell r="I328">
            <v>0</v>
          </cell>
        </row>
        <row r="329">
          <cell r="G329">
            <v>0</v>
          </cell>
          <cell r="H329">
            <v>0</v>
          </cell>
          <cell r="I329">
            <v>0</v>
          </cell>
        </row>
        <row r="330">
          <cell r="G330">
            <v>0</v>
          </cell>
          <cell r="H330">
            <v>0</v>
          </cell>
          <cell r="I330">
            <v>0</v>
          </cell>
        </row>
        <row r="336">
          <cell r="G336">
            <v>0</v>
          </cell>
          <cell r="H336">
            <v>0</v>
          </cell>
          <cell r="I336">
            <v>0</v>
          </cell>
        </row>
        <row r="337">
          <cell r="G337">
            <v>0</v>
          </cell>
          <cell r="H337">
            <v>0</v>
          </cell>
          <cell r="I337">
            <v>0</v>
          </cell>
        </row>
        <row r="338">
          <cell r="G338">
            <v>0</v>
          </cell>
          <cell r="H338">
            <v>0</v>
          </cell>
          <cell r="I338">
            <v>0</v>
          </cell>
        </row>
        <row r="344">
          <cell r="G344">
            <v>0</v>
          </cell>
          <cell r="H344">
            <v>0</v>
          </cell>
          <cell r="I344">
            <v>0</v>
          </cell>
        </row>
        <row r="345">
          <cell r="G345">
            <v>0</v>
          </cell>
          <cell r="H345">
            <v>0</v>
          </cell>
          <cell r="I345">
            <v>0</v>
          </cell>
        </row>
        <row r="346">
          <cell r="G346">
            <v>0</v>
          </cell>
          <cell r="H346">
            <v>0</v>
          </cell>
          <cell r="I346">
            <v>0</v>
          </cell>
        </row>
        <row r="352">
          <cell r="G352">
            <v>0</v>
          </cell>
          <cell r="H352">
            <v>0</v>
          </cell>
          <cell r="I352">
            <v>0</v>
          </cell>
        </row>
        <row r="353">
          <cell r="G353">
            <v>0</v>
          </cell>
          <cell r="H353">
            <v>0</v>
          </cell>
          <cell r="I353">
            <v>0</v>
          </cell>
        </row>
        <row r="354">
          <cell r="G354">
            <v>0</v>
          </cell>
          <cell r="H354">
            <v>0</v>
          </cell>
          <cell r="I354">
            <v>0</v>
          </cell>
        </row>
        <row r="360">
          <cell r="G360">
            <v>0</v>
          </cell>
          <cell r="H360">
            <v>0</v>
          </cell>
          <cell r="I360">
            <v>0</v>
          </cell>
        </row>
        <row r="361">
          <cell r="G361">
            <v>0</v>
          </cell>
          <cell r="H361">
            <v>0</v>
          </cell>
          <cell r="I361">
            <v>0</v>
          </cell>
        </row>
        <row r="362">
          <cell r="G362">
            <v>0</v>
          </cell>
          <cell r="H362">
            <v>0</v>
          </cell>
          <cell r="I362">
            <v>0</v>
          </cell>
        </row>
        <row r="368">
          <cell r="G368">
            <v>0</v>
          </cell>
          <cell r="H368">
            <v>0</v>
          </cell>
          <cell r="I368">
            <v>0</v>
          </cell>
        </row>
        <row r="369">
          <cell r="G369">
            <v>0</v>
          </cell>
          <cell r="H369">
            <v>0</v>
          </cell>
          <cell r="I369">
            <v>0</v>
          </cell>
        </row>
        <row r="370">
          <cell r="G370">
            <v>0</v>
          </cell>
          <cell r="H370">
            <v>0</v>
          </cell>
          <cell r="I370">
            <v>0</v>
          </cell>
        </row>
        <row r="376">
          <cell r="G376">
            <v>0</v>
          </cell>
          <cell r="H376">
            <v>0</v>
          </cell>
          <cell r="I376">
            <v>0</v>
          </cell>
        </row>
        <row r="377">
          <cell r="G377">
            <v>0</v>
          </cell>
          <cell r="H377">
            <v>0</v>
          </cell>
          <cell r="I377">
            <v>0</v>
          </cell>
        </row>
        <row r="378">
          <cell r="G378">
            <v>0</v>
          </cell>
          <cell r="H378">
            <v>0</v>
          </cell>
          <cell r="I378">
            <v>0</v>
          </cell>
        </row>
        <row r="384">
          <cell r="G384">
            <v>0</v>
          </cell>
          <cell r="H384">
            <v>0</v>
          </cell>
          <cell r="I384">
            <v>0</v>
          </cell>
        </row>
        <row r="385">
          <cell r="G385">
            <v>0</v>
          </cell>
          <cell r="H385">
            <v>0</v>
          </cell>
          <cell r="I385">
            <v>0</v>
          </cell>
        </row>
        <row r="386">
          <cell r="G386">
            <v>0</v>
          </cell>
          <cell r="H386">
            <v>0</v>
          </cell>
          <cell r="I386">
            <v>0</v>
          </cell>
        </row>
        <row r="392">
          <cell r="G392">
            <v>0</v>
          </cell>
          <cell r="H392">
            <v>0</v>
          </cell>
          <cell r="I392">
            <v>0</v>
          </cell>
        </row>
        <row r="393">
          <cell r="G393">
            <v>0</v>
          </cell>
          <cell r="H393">
            <v>0</v>
          </cell>
          <cell r="I393">
            <v>0</v>
          </cell>
        </row>
        <row r="394">
          <cell r="G394">
            <v>0</v>
          </cell>
          <cell r="H394">
            <v>0</v>
          </cell>
          <cell r="I394">
            <v>0</v>
          </cell>
        </row>
        <row r="400">
          <cell r="G400">
            <v>0</v>
          </cell>
          <cell r="H400">
            <v>0</v>
          </cell>
          <cell r="I400">
            <v>0</v>
          </cell>
        </row>
        <row r="401">
          <cell r="G401">
            <v>0</v>
          </cell>
          <cell r="H401">
            <v>0</v>
          </cell>
          <cell r="I401">
            <v>0</v>
          </cell>
        </row>
        <row r="402">
          <cell r="G402">
            <v>0</v>
          </cell>
          <cell r="H402">
            <v>0</v>
          </cell>
          <cell r="I402">
            <v>0</v>
          </cell>
        </row>
        <row r="408">
          <cell r="G408">
            <v>0</v>
          </cell>
          <cell r="H408">
            <v>0</v>
          </cell>
          <cell r="I408">
            <v>0</v>
          </cell>
        </row>
        <row r="409">
          <cell r="G409">
            <v>0</v>
          </cell>
          <cell r="H409">
            <v>0</v>
          </cell>
          <cell r="I409">
            <v>0</v>
          </cell>
        </row>
        <row r="410">
          <cell r="G410">
            <v>0</v>
          </cell>
          <cell r="H410">
            <v>0</v>
          </cell>
          <cell r="I410">
            <v>0</v>
          </cell>
        </row>
        <row r="416">
          <cell r="G416">
            <v>0</v>
          </cell>
          <cell r="H416">
            <v>0</v>
          </cell>
          <cell r="I416">
            <v>0</v>
          </cell>
        </row>
        <row r="417">
          <cell r="G417">
            <v>0</v>
          </cell>
          <cell r="H417">
            <v>0</v>
          </cell>
          <cell r="I417">
            <v>0</v>
          </cell>
        </row>
        <row r="418">
          <cell r="G418">
            <v>0</v>
          </cell>
          <cell r="H418">
            <v>0</v>
          </cell>
          <cell r="I418">
            <v>0</v>
          </cell>
        </row>
        <row r="424">
          <cell r="G424">
            <v>0</v>
          </cell>
          <cell r="H424">
            <v>0</v>
          </cell>
          <cell r="I424">
            <v>0</v>
          </cell>
        </row>
        <row r="425">
          <cell r="G425">
            <v>0</v>
          </cell>
          <cell r="H425">
            <v>0</v>
          </cell>
          <cell r="I425">
            <v>0</v>
          </cell>
        </row>
        <row r="426">
          <cell r="G426">
            <v>0</v>
          </cell>
          <cell r="H426">
            <v>0</v>
          </cell>
          <cell r="I426">
            <v>0</v>
          </cell>
        </row>
        <row r="432">
          <cell r="G432">
            <v>0</v>
          </cell>
          <cell r="H432">
            <v>0</v>
          </cell>
          <cell r="I432">
            <v>0</v>
          </cell>
        </row>
        <row r="433">
          <cell r="G433">
            <v>0</v>
          </cell>
          <cell r="H433">
            <v>0</v>
          </cell>
          <cell r="I433">
            <v>0</v>
          </cell>
        </row>
        <row r="434">
          <cell r="G434">
            <v>0</v>
          </cell>
          <cell r="H434">
            <v>0</v>
          </cell>
          <cell r="I434">
            <v>0</v>
          </cell>
        </row>
        <row r="440">
          <cell r="G440">
            <v>0</v>
          </cell>
          <cell r="H440">
            <v>0</v>
          </cell>
          <cell r="I440">
            <v>0</v>
          </cell>
        </row>
        <row r="441">
          <cell r="G441">
            <v>0</v>
          </cell>
          <cell r="H441">
            <v>0</v>
          </cell>
          <cell r="I441">
            <v>0</v>
          </cell>
        </row>
        <row r="442">
          <cell r="G442">
            <v>0</v>
          </cell>
          <cell r="H442">
            <v>0</v>
          </cell>
          <cell r="I442">
            <v>0</v>
          </cell>
        </row>
        <row r="448">
          <cell r="G448">
            <v>0</v>
          </cell>
          <cell r="H448">
            <v>0</v>
          </cell>
          <cell r="I448">
            <v>0</v>
          </cell>
        </row>
        <row r="449">
          <cell r="G449">
            <v>0</v>
          </cell>
          <cell r="H449">
            <v>0</v>
          </cell>
          <cell r="I449">
            <v>0</v>
          </cell>
        </row>
        <row r="450">
          <cell r="G450">
            <v>0</v>
          </cell>
          <cell r="H450">
            <v>0</v>
          </cell>
          <cell r="I450">
            <v>0</v>
          </cell>
        </row>
        <row r="456">
          <cell r="G456">
            <v>0</v>
          </cell>
          <cell r="H456">
            <v>0</v>
          </cell>
          <cell r="I456">
            <v>0</v>
          </cell>
        </row>
        <row r="457">
          <cell r="G457">
            <v>0</v>
          </cell>
          <cell r="H457">
            <v>0</v>
          </cell>
          <cell r="I457">
            <v>0</v>
          </cell>
        </row>
        <row r="458">
          <cell r="G458">
            <v>0</v>
          </cell>
          <cell r="H458">
            <v>0</v>
          </cell>
          <cell r="I458">
            <v>0</v>
          </cell>
        </row>
        <row r="464">
          <cell r="G464">
            <v>0</v>
          </cell>
          <cell r="H464">
            <v>0</v>
          </cell>
          <cell r="I464">
            <v>0</v>
          </cell>
        </row>
        <row r="465">
          <cell r="G465">
            <v>0</v>
          </cell>
          <cell r="H465">
            <v>0</v>
          </cell>
          <cell r="I465">
            <v>0</v>
          </cell>
        </row>
        <row r="466">
          <cell r="G466">
            <v>0</v>
          </cell>
          <cell r="H466">
            <v>0</v>
          </cell>
          <cell r="I466">
            <v>0</v>
          </cell>
        </row>
        <row r="472">
          <cell r="G472">
            <v>0</v>
          </cell>
          <cell r="H472">
            <v>0</v>
          </cell>
          <cell r="I472">
            <v>0</v>
          </cell>
        </row>
        <row r="473">
          <cell r="G473">
            <v>0</v>
          </cell>
          <cell r="H473">
            <v>0</v>
          </cell>
          <cell r="I473">
            <v>0</v>
          </cell>
        </row>
        <row r="474">
          <cell r="G474">
            <v>0</v>
          </cell>
          <cell r="H474">
            <v>0</v>
          </cell>
          <cell r="I474">
            <v>0</v>
          </cell>
        </row>
        <row r="480">
          <cell r="G480">
            <v>0</v>
          </cell>
          <cell r="H480">
            <v>0</v>
          </cell>
          <cell r="I480">
            <v>0</v>
          </cell>
        </row>
        <row r="481">
          <cell r="G481">
            <v>0</v>
          </cell>
          <cell r="H481">
            <v>0</v>
          </cell>
          <cell r="I481">
            <v>0</v>
          </cell>
        </row>
        <row r="482">
          <cell r="G482">
            <v>0</v>
          </cell>
          <cell r="H482">
            <v>0</v>
          </cell>
          <cell r="I482">
            <v>0</v>
          </cell>
        </row>
        <row r="488">
          <cell r="G488">
            <v>0</v>
          </cell>
          <cell r="H488">
            <v>0</v>
          </cell>
          <cell r="I488">
            <v>0</v>
          </cell>
        </row>
        <row r="489">
          <cell r="G489">
            <v>0</v>
          </cell>
          <cell r="H489">
            <v>0</v>
          </cell>
          <cell r="I489">
            <v>0</v>
          </cell>
        </row>
        <row r="490">
          <cell r="G490">
            <v>0</v>
          </cell>
          <cell r="H490">
            <v>0</v>
          </cell>
          <cell r="I490">
            <v>0</v>
          </cell>
        </row>
        <row r="496">
          <cell r="G496">
            <v>0</v>
          </cell>
          <cell r="H496">
            <v>0</v>
          </cell>
          <cell r="I496">
            <v>0</v>
          </cell>
        </row>
        <row r="497">
          <cell r="G497">
            <v>0</v>
          </cell>
          <cell r="H497">
            <v>0</v>
          </cell>
          <cell r="I497">
            <v>0</v>
          </cell>
        </row>
        <row r="498">
          <cell r="G498">
            <v>0</v>
          </cell>
          <cell r="H498">
            <v>0</v>
          </cell>
          <cell r="I498">
            <v>0</v>
          </cell>
        </row>
        <row r="504">
          <cell r="G504">
            <v>0</v>
          </cell>
          <cell r="H504">
            <v>0</v>
          </cell>
          <cell r="I504">
            <v>0</v>
          </cell>
        </row>
        <row r="505">
          <cell r="G505">
            <v>0</v>
          </cell>
          <cell r="H505">
            <v>0</v>
          </cell>
          <cell r="I505">
            <v>0</v>
          </cell>
        </row>
        <row r="506">
          <cell r="G506">
            <v>0</v>
          </cell>
          <cell r="H506">
            <v>0</v>
          </cell>
          <cell r="I506">
            <v>0</v>
          </cell>
        </row>
        <row r="512">
          <cell r="G512">
            <v>0</v>
          </cell>
          <cell r="H512">
            <v>0</v>
          </cell>
          <cell r="I512">
            <v>0</v>
          </cell>
        </row>
        <row r="513">
          <cell r="G513">
            <v>0</v>
          </cell>
          <cell r="H513">
            <v>0</v>
          </cell>
          <cell r="I513">
            <v>0</v>
          </cell>
        </row>
        <row r="514">
          <cell r="G514">
            <v>0</v>
          </cell>
          <cell r="H514">
            <v>0</v>
          </cell>
          <cell r="I514">
            <v>0</v>
          </cell>
        </row>
        <row r="520">
          <cell r="G520">
            <v>0</v>
          </cell>
          <cell r="H520">
            <v>0</v>
          </cell>
          <cell r="I520">
            <v>0</v>
          </cell>
        </row>
        <row r="521">
          <cell r="G521">
            <v>0</v>
          </cell>
          <cell r="H521">
            <v>0</v>
          </cell>
          <cell r="I521">
            <v>0</v>
          </cell>
        </row>
        <row r="522">
          <cell r="G522">
            <v>0</v>
          </cell>
          <cell r="H522">
            <v>0</v>
          </cell>
          <cell r="I522">
            <v>0</v>
          </cell>
        </row>
        <row r="528">
          <cell r="G528">
            <v>0</v>
          </cell>
          <cell r="H528">
            <v>0</v>
          </cell>
          <cell r="I528">
            <v>0</v>
          </cell>
        </row>
        <row r="529">
          <cell r="G529">
            <v>0</v>
          </cell>
          <cell r="H529">
            <v>0</v>
          </cell>
          <cell r="I529">
            <v>0</v>
          </cell>
        </row>
        <row r="530">
          <cell r="G530">
            <v>0</v>
          </cell>
          <cell r="H530">
            <v>0</v>
          </cell>
          <cell r="I530">
            <v>0</v>
          </cell>
        </row>
        <row r="536">
          <cell r="G536">
            <v>0</v>
          </cell>
          <cell r="H536">
            <v>0</v>
          </cell>
          <cell r="I536">
            <v>0</v>
          </cell>
        </row>
        <row r="537">
          <cell r="G537">
            <v>0</v>
          </cell>
          <cell r="H537">
            <v>0</v>
          </cell>
          <cell r="I537">
            <v>0</v>
          </cell>
        </row>
        <row r="538">
          <cell r="G538">
            <v>0</v>
          </cell>
          <cell r="H538">
            <v>0</v>
          </cell>
          <cell r="I538">
            <v>0</v>
          </cell>
        </row>
        <row r="544">
          <cell r="G544">
            <v>0</v>
          </cell>
          <cell r="H544">
            <v>0</v>
          </cell>
          <cell r="I544">
            <v>0</v>
          </cell>
        </row>
        <row r="545">
          <cell r="G545">
            <v>0</v>
          </cell>
          <cell r="H545">
            <v>0</v>
          </cell>
          <cell r="I545">
            <v>0</v>
          </cell>
        </row>
        <row r="546">
          <cell r="G546">
            <v>0</v>
          </cell>
          <cell r="H546">
            <v>0</v>
          </cell>
          <cell r="I546">
            <v>0</v>
          </cell>
        </row>
        <row r="552">
          <cell r="G552">
            <v>0</v>
          </cell>
          <cell r="H552">
            <v>0</v>
          </cell>
          <cell r="I552">
            <v>0</v>
          </cell>
        </row>
        <row r="553">
          <cell r="G553">
            <v>0</v>
          </cell>
          <cell r="H553">
            <v>0</v>
          </cell>
          <cell r="I553">
            <v>0</v>
          </cell>
        </row>
        <row r="554">
          <cell r="G554">
            <v>0</v>
          </cell>
          <cell r="H554">
            <v>0</v>
          </cell>
          <cell r="I554">
            <v>0</v>
          </cell>
        </row>
        <row r="560">
          <cell r="G560">
            <v>0</v>
          </cell>
          <cell r="H560">
            <v>0</v>
          </cell>
          <cell r="I560">
            <v>0</v>
          </cell>
        </row>
        <row r="561">
          <cell r="G561">
            <v>0</v>
          </cell>
          <cell r="H561">
            <v>0</v>
          </cell>
          <cell r="I561">
            <v>0</v>
          </cell>
        </row>
        <row r="562">
          <cell r="G562">
            <v>0</v>
          </cell>
          <cell r="H562">
            <v>0</v>
          </cell>
          <cell r="I562">
            <v>0</v>
          </cell>
        </row>
        <row r="568">
          <cell r="G568">
            <v>0</v>
          </cell>
          <cell r="H568">
            <v>0</v>
          </cell>
          <cell r="I568">
            <v>0</v>
          </cell>
        </row>
        <row r="569">
          <cell r="G569">
            <v>0</v>
          </cell>
          <cell r="H569">
            <v>0</v>
          </cell>
          <cell r="I569">
            <v>0</v>
          </cell>
        </row>
        <row r="570">
          <cell r="G570">
            <v>0</v>
          </cell>
          <cell r="H570">
            <v>0</v>
          </cell>
          <cell r="I570">
            <v>0</v>
          </cell>
        </row>
        <row r="584">
          <cell r="G584">
            <v>0</v>
          </cell>
          <cell r="H584">
            <v>0</v>
          </cell>
          <cell r="I584">
            <v>0</v>
          </cell>
        </row>
        <row r="585">
          <cell r="G585">
            <v>0</v>
          </cell>
          <cell r="H585">
            <v>0</v>
          </cell>
          <cell r="I585">
            <v>0</v>
          </cell>
        </row>
        <row r="586">
          <cell r="G586">
            <v>0</v>
          </cell>
          <cell r="H586">
            <v>0</v>
          </cell>
          <cell r="I586">
            <v>0</v>
          </cell>
        </row>
        <row r="592">
          <cell r="G592">
            <v>0</v>
          </cell>
          <cell r="H592">
            <v>0</v>
          </cell>
          <cell r="I592">
            <v>0</v>
          </cell>
        </row>
        <row r="593">
          <cell r="G593">
            <v>0</v>
          </cell>
          <cell r="H593">
            <v>0</v>
          </cell>
          <cell r="I593">
            <v>0</v>
          </cell>
        </row>
        <row r="594">
          <cell r="G594">
            <v>0</v>
          </cell>
          <cell r="H594">
            <v>0</v>
          </cell>
          <cell r="I59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80">
          <cell r="D180">
            <v>2016</v>
          </cell>
        </row>
        <row r="267">
          <cell r="F267">
            <v>68528.600000000006</v>
          </cell>
          <cell r="G267">
            <v>20000</v>
          </cell>
        </row>
      </sheetData>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6-18"/>
      <sheetName val="5. Фин уч"/>
      <sheetName val="c учетом УС"/>
      <sheetName val="8 План16-19 (2)"/>
      <sheetName val=" 3.ОМ 16-19"/>
      <sheetName val="Изменения 2017 Минфин"/>
      <sheetName val="8 План18-20-1"/>
      <sheetName val="8 План18-20-2"/>
      <sheetName val="10в Справка ОКС 18.03.19"/>
      <sheetName val="8 План16-20"/>
      <sheetName val="Пр ГП 19-20"/>
      <sheetName val="8 План19-21-1"/>
      <sheetName val="8 План18-20-5"/>
      <sheetName val="10в Справка ОКС"/>
      <sheetName val="Сводная"/>
      <sheetName val="9. План 21-25"/>
      <sheetName val="10в. Спр ОКС"/>
      <sheetName val="10а. Спр пок "/>
      <sheetName val="4. ОКС 16-19-3"/>
      <sheetName val="Пр8 16-19 (2)"/>
      <sheetName val="для счета"/>
      <sheetName val="Пр10б. Справка"/>
      <sheetName val="Пр 10в ОКС"/>
      <sheetName val="8 План16-19"/>
      <sheetName val="3. ОМ"/>
      <sheetName val="Исп.бюдж.01.01.2019"/>
      <sheetName val="Пр ГП 19-20 (2)"/>
      <sheetName val="Пр ГП 19-20 (3)"/>
      <sheetName val="Пр 11а."/>
      <sheetName val="Спорт ОКС"/>
      <sheetName val="Минфин"/>
      <sheetName val="Муниципальные"/>
      <sheetName val="Областные"/>
      <sheetName val="Исп.бюдж 01.07.19"/>
      <sheetName val="11д. Оц эф"/>
      <sheetName val="11г"/>
      <sheetName val="4. ОК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K5" t="str">
            <v>Министерство спорта и молодежной политики МО, Министерство строительства МО</v>
          </cell>
        </row>
        <row r="11">
          <cell r="K11" t="str">
            <v>Министерство строительства МО</v>
          </cell>
        </row>
        <row r="41">
          <cell r="J41" t="str">
            <v xml:space="preserve">Обучение плаванию ежегодно не менее 500 человек </v>
          </cell>
        </row>
        <row r="59">
          <cell r="J59" t="str">
            <v>Ежегодная организация и проведение церемонии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v>
          </cell>
        </row>
        <row r="167">
          <cell r="K167" t="str">
            <v>Министерство строительства МО, администрации муниципальных образований</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План18-20-2"/>
      <sheetName val="3. ОМ"/>
      <sheetName val="Исп.бюдж.01.01.2019"/>
      <sheetName val="8 План18-20-5"/>
      <sheetName val="12А"/>
      <sheetName val="12Б"/>
      <sheetName val="12В"/>
      <sheetName val="Минфин"/>
      <sheetName val="Муниципальные"/>
      <sheetName val="Областные"/>
      <sheetName val="Пр ГП 19-20"/>
      <sheetName val="Исп.бюдж 01.07.19"/>
      <sheetName val="11д. Оц эф"/>
      <sheetName val="11г"/>
      <sheetName val="4. ОКС"/>
      <sheetName val="8 План16-20"/>
      <sheetName val="12Г"/>
      <sheetName val="12Д"/>
    </sheetNames>
    <sheetDataSet>
      <sheetData sheetId="0"/>
      <sheetData sheetId="1"/>
      <sheetData sheetId="2"/>
      <sheetData sheetId="3"/>
      <sheetData sheetId="4">
        <row r="365">
          <cell r="D365">
            <v>310574.57513999997</v>
          </cell>
          <cell r="E365">
            <v>310574.57513999997</v>
          </cell>
          <cell r="F365">
            <v>14576.39078</v>
          </cell>
        </row>
        <row r="366">
          <cell r="D366">
            <v>32529.4</v>
          </cell>
          <cell r="E366">
            <v>32529.4</v>
          </cell>
          <cell r="F366">
            <v>0</v>
          </cell>
        </row>
        <row r="367">
          <cell r="D367">
            <v>9579.5613699999994</v>
          </cell>
          <cell r="E367">
            <v>9579.5613699999994</v>
          </cell>
          <cell r="F367">
            <v>706.00780999999995</v>
          </cell>
        </row>
        <row r="370">
          <cell r="D370">
            <v>171730.75678999998</v>
          </cell>
          <cell r="E370">
            <v>171641.80465000001</v>
          </cell>
          <cell r="F370">
            <v>171641.80465000001</v>
          </cell>
        </row>
        <row r="371">
          <cell r="D371">
            <v>145078.49696000002</v>
          </cell>
          <cell r="E371">
            <v>145078.49696000002</v>
          </cell>
          <cell r="F371">
            <v>145078.49696000002</v>
          </cell>
        </row>
        <row r="372">
          <cell r="D372">
            <v>9038.4609</v>
          </cell>
          <cell r="E372">
            <v>9033.7792100000006</v>
          </cell>
          <cell r="F372">
            <v>9033.7792100000006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ниципальные"/>
    </sheetNames>
    <sheetDataSet>
      <sheetData sheetId="0">
        <row r="103">
          <cell r="D103">
            <v>173475</v>
          </cell>
        </row>
        <row r="104">
          <cell r="B104">
            <v>1066656.04</v>
          </cell>
          <cell r="C104">
            <v>0</v>
          </cell>
        </row>
        <row r="105">
          <cell r="B105">
            <v>1060746.1470000001</v>
          </cell>
          <cell r="C105">
            <v>45420.555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Сводная"/>
      <sheetName val="8 План16-20"/>
      <sheetName val="Изменения 2017 Минфин"/>
      <sheetName val="10а. Спр пок "/>
      <sheetName val="10б. Справка"/>
      <sheetName val="10в. Спр ОКС"/>
      <sheetName val="4. ОКС 16-19-3"/>
      <sheetName val="Пр8 16-19 (2)"/>
    </sheetNames>
    <sheetDataSet>
      <sheetData sheetId="0"/>
      <sheetData sheetId="1">
        <row r="128">
          <cell r="G128">
            <v>0</v>
          </cell>
          <cell r="H128">
            <v>0</v>
          </cell>
          <cell r="I128">
            <v>0</v>
          </cell>
        </row>
        <row r="129">
          <cell r="G129">
            <v>0</v>
          </cell>
          <cell r="H129">
            <v>0</v>
          </cell>
          <cell r="I129">
            <v>0</v>
          </cell>
        </row>
        <row r="130">
          <cell r="G130">
            <v>0</v>
          </cell>
          <cell r="H130">
            <v>0</v>
          </cell>
          <cell r="I130">
            <v>0</v>
          </cell>
        </row>
        <row r="131">
          <cell r="G131">
            <v>0</v>
          </cell>
          <cell r="H131">
            <v>0</v>
          </cell>
          <cell r="I131">
            <v>0</v>
          </cell>
        </row>
        <row r="132">
          <cell r="G132">
            <v>0</v>
          </cell>
          <cell r="H132">
            <v>0</v>
          </cell>
          <cell r="I132">
            <v>0</v>
          </cell>
        </row>
        <row r="136">
          <cell r="G136">
            <v>0</v>
          </cell>
          <cell r="H136">
            <v>0</v>
          </cell>
          <cell r="I136">
            <v>0</v>
          </cell>
        </row>
        <row r="137">
          <cell r="G137">
            <v>0</v>
          </cell>
          <cell r="H137">
            <v>0</v>
          </cell>
          <cell r="I137">
            <v>0</v>
          </cell>
        </row>
        <row r="138">
          <cell r="G138">
            <v>0</v>
          </cell>
          <cell r="H138">
            <v>0</v>
          </cell>
          <cell r="I138">
            <v>0</v>
          </cell>
        </row>
        <row r="139">
          <cell r="G139">
            <v>0</v>
          </cell>
          <cell r="H139">
            <v>0</v>
          </cell>
          <cell r="I139">
            <v>0</v>
          </cell>
        </row>
        <row r="140">
          <cell r="G140">
            <v>0</v>
          </cell>
          <cell r="H140">
            <v>0</v>
          </cell>
          <cell r="I140">
            <v>0</v>
          </cell>
        </row>
        <row r="176">
          <cell r="G176">
            <v>0</v>
          </cell>
          <cell r="H176">
            <v>0</v>
          </cell>
          <cell r="I176">
            <v>0</v>
          </cell>
        </row>
        <row r="177">
          <cell r="G177">
            <v>0</v>
          </cell>
          <cell r="H177">
            <v>0</v>
          </cell>
          <cell r="I177">
            <v>0</v>
          </cell>
        </row>
        <row r="178">
          <cell r="G178">
            <v>0</v>
          </cell>
          <cell r="H178">
            <v>0</v>
          </cell>
          <cell r="I178">
            <v>0</v>
          </cell>
        </row>
        <row r="179">
          <cell r="G179">
            <v>0</v>
          </cell>
          <cell r="H179">
            <v>0</v>
          </cell>
          <cell r="I179">
            <v>0</v>
          </cell>
        </row>
        <row r="180">
          <cell r="G180">
            <v>0</v>
          </cell>
          <cell r="H180">
            <v>0</v>
          </cell>
          <cell r="I180">
            <v>0</v>
          </cell>
        </row>
        <row r="232">
          <cell r="G232">
            <v>0</v>
          </cell>
          <cell r="H232">
            <v>0</v>
          </cell>
          <cell r="I232">
            <v>0</v>
          </cell>
        </row>
        <row r="233">
          <cell r="G233">
            <v>0</v>
          </cell>
          <cell r="H233">
            <v>0</v>
          </cell>
          <cell r="I233">
            <v>0</v>
          </cell>
        </row>
        <row r="234">
          <cell r="G234">
            <v>0</v>
          </cell>
          <cell r="H234">
            <v>0</v>
          </cell>
          <cell r="I234">
            <v>0</v>
          </cell>
        </row>
        <row r="240">
          <cell r="G240">
            <v>0</v>
          </cell>
          <cell r="H240">
            <v>0</v>
          </cell>
          <cell r="I240">
            <v>0</v>
          </cell>
        </row>
        <row r="241">
          <cell r="G241">
            <v>0</v>
          </cell>
          <cell r="H241">
            <v>0</v>
          </cell>
          <cell r="I241">
            <v>0</v>
          </cell>
        </row>
        <row r="242">
          <cell r="G242">
            <v>0</v>
          </cell>
          <cell r="H242">
            <v>0</v>
          </cell>
          <cell r="I242">
            <v>0</v>
          </cell>
        </row>
        <row r="248">
          <cell r="G248">
            <v>0</v>
          </cell>
          <cell r="H248">
            <v>0</v>
          </cell>
          <cell r="I248">
            <v>0</v>
          </cell>
        </row>
        <row r="249">
          <cell r="G249">
            <v>0</v>
          </cell>
          <cell r="H249">
            <v>0</v>
          </cell>
          <cell r="I249">
            <v>0</v>
          </cell>
        </row>
        <row r="250">
          <cell r="G250">
            <v>0</v>
          </cell>
          <cell r="H250">
            <v>0</v>
          </cell>
          <cell r="I250">
            <v>0</v>
          </cell>
        </row>
        <row r="256">
          <cell r="G256">
            <v>0</v>
          </cell>
          <cell r="H256">
            <v>0</v>
          </cell>
          <cell r="I256">
            <v>0</v>
          </cell>
        </row>
        <row r="257">
          <cell r="G257">
            <v>0</v>
          </cell>
          <cell r="H257">
            <v>0</v>
          </cell>
          <cell r="I257">
            <v>0</v>
          </cell>
        </row>
        <row r="258">
          <cell r="G258">
            <v>0</v>
          </cell>
          <cell r="H258">
            <v>0</v>
          </cell>
          <cell r="I258">
            <v>0</v>
          </cell>
        </row>
        <row r="264">
          <cell r="G264">
            <v>0</v>
          </cell>
          <cell r="H264">
            <v>0</v>
          </cell>
          <cell r="I264">
            <v>0</v>
          </cell>
        </row>
        <row r="265">
          <cell r="G265">
            <v>0</v>
          </cell>
          <cell r="H265">
            <v>0</v>
          </cell>
          <cell r="I265">
            <v>0</v>
          </cell>
        </row>
        <row r="266">
          <cell r="G266">
            <v>0</v>
          </cell>
          <cell r="H266">
            <v>0</v>
          </cell>
          <cell r="I266">
            <v>0</v>
          </cell>
        </row>
        <row r="272">
          <cell r="G272">
            <v>0</v>
          </cell>
          <cell r="H272">
            <v>0</v>
          </cell>
          <cell r="I272">
            <v>0</v>
          </cell>
        </row>
        <row r="273">
          <cell r="G273">
            <v>0</v>
          </cell>
          <cell r="H273">
            <v>0</v>
          </cell>
          <cell r="I273">
            <v>0</v>
          </cell>
        </row>
        <row r="274">
          <cell r="G274">
            <v>0</v>
          </cell>
          <cell r="H274">
            <v>0</v>
          </cell>
          <cell r="I274">
            <v>0</v>
          </cell>
        </row>
        <row r="280">
          <cell r="G280">
            <v>0</v>
          </cell>
          <cell r="H280">
            <v>0</v>
          </cell>
          <cell r="I280">
            <v>0</v>
          </cell>
        </row>
        <row r="281">
          <cell r="G281">
            <v>0</v>
          </cell>
          <cell r="H281">
            <v>0</v>
          </cell>
          <cell r="I281">
            <v>0</v>
          </cell>
        </row>
        <row r="282">
          <cell r="G282">
            <v>0</v>
          </cell>
          <cell r="H282">
            <v>0</v>
          </cell>
          <cell r="I282">
            <v>0</v>
          </cell>
        </row>
        <row r="288">
          <cell r="G288">
            <v>0</v>
          </cell>
          <cell r="H288">
            <v>0</v>
          </cell>
          <cell r="I288">
            <v>0</v>
          </cell>
        </row>
        <row r="289">
          <cell r="G289">
            <v>0</v>
          </cell>
          <cell r="H289">
            <v>0</v>
          </cell>
          <cell r="I289">
            <v>0</v>
          </cell>
        </row>
        <row r="290">
          <cell r="G290">
            <v>0</v>
          </cell>
          <cell r="H290">
            <v>0</v>
          </cell>
          <cell r="I290">
            <v>0</v>
          </cell>
        </row>
        <row r="296">
          <cell r="G296">
            <v>0</v>
          </cell>
          <cell r="H296">
            <v>0</v>
          </cell>
          <cell r="I296">
            <v>0</v>
          </cell>
        </row>
        <row r="297">
          <cell r="G297">
            <v>0</v>
          </cell>
          <cell r="H297">
            <v>0</v>
          </cell>
          <cell r="I297">
            <v>0</v>
          </cell>
        </row>
        <row r="298">
          <cell r="G298">
            <v>0</v>
          </cell>
          <cell r="H298">
            <v>0</v>
          </cell>
          <cell r="I298">
            <v>0</v>
          </cell>
        </row>
        <row r="304">
          <cell r="G304">
            <v>0</v>
          </cell>
          <cell r="H304">
            <v>0</v>
          </cell>
          <cell r="I304">
            <v>0</v>
          </cell>
        </row>
        <row r="305">
          <cell r="G305">
            <v>0</v>
          </cell>
          <cell r="H305">
            <v>0</v>
          </cell>
          <cell r="I305">
            <v>0</v>
          </cell>
        </row>
        <row r="306">
          <cell r="G306">
            <v>0</v>
          </cell>
          <cell r="H306">
            <v>0</v>
          </cell>
          <cell r="I306">
            <v>0</v>
          </cell>
        </row>
        <row r="312">
          <cell r="G312">
            <v>0</v>
          </cell>
          <cell r="H312">
            <v>0</v>
          </cell>
          <cell r="I312">
            <v>0</v>
          </cell>
        </row>
        <row r="313">
          <cell r="G313">
            <v>0</v>
          </cell>
          <cell r="H313">
            <v>0</v>
          </cell>
          <cell r="I313">
            <v>0</v>
          </cell>
        </row>
        <row r="314">
          <cell r="G314">
            <v>0</v>
          </cell>
          <cell r="H314">
            <v>0</v>
          </cell>
          <cell r="I314">
            <v>0</v>
          </cell>
        </row>
        <row r="320">
          <cell r="G320">
            <v>0</v>
          </cell>
          <cell r="H320">
            <v>0</v>
          </cell>
          <cell r="I320">
            <v>0</v>
          </cell>
        </row>
        <row r="321">
          <cell r="G321">
            <v>0</v>
          </cell>
          <cell r="H321">
            <v>0</v>
          </cell>
          <cell r="I321">
            <v>0</v>
          </cell>
        </row>
        <row r="322">
          <cell r="G322">
            <v>0</v>
          </cell>
          <cell r="H322">
            <v>0</v>
          </cell>
          <cell r="I322">
            <v>0</v>
          </cell>
        </row>
        <row r="328">
          <cell r="G328">
            <v>0</v>
          </cell>
          <cell r="H328">
            <v>0</v>
          </cell>
          <cell r="I328">
            <v>0</v>
          </cell>
        </row>
        <row r="329">
          <cell r="G329">
            <v>0</v>
          </cell>
          <cell r="H329">
            <v>0</v>
          </cell>
          <cell r="I329">
            <v>0</v>
          </cell>
        </row>
        <row r="330">
          <cell r="G330">
            <v>0</v>
          </cell>
          <cell r="H330">
            <v>0</v>
          </cell>
          <cell r="I330">
            <v>0</v>
          </cell>
        </row>
        <row r="336">
          <cell r="G336">
            <v>0</v>
          </cell>
          <cell r="H336">
            <v>0</v>
          </cell>
          <cell r="I336">
            <v>0</v>
          </cell>
        </row>
        <row r="337">
          <cell r="G337">
            <v>0</v>
          </cell>
          <cell r="H337">
            <v>0</v>
          </cell>
          <cell r="I337">
            <v>0</v>
          </cell>
        </row>
        <row r="338">
          <cell r="G338">
            <v>0</v>
          </cell>
          <cell r="H338">
            <v>0</v>
          </cell>
          <cell r="I338">
            <v>0</v>
          </cell>
        </row>
        <row r="344">
          <cell r="G344">
            <v>0</v>
          </cell>
          <cell r="H344">
            <v>0</v>
          </cell>
          <cell r="I344">
            <v>0</v>
          </cell>
        </row>
        <row r="345">
          <cell r="G345">
            <v>0</v>
          </cell>
          <cell r="H345">
            <v>0</v>
          </cell>
          <cell r="I345">
            <v>0</v>
          </cell>
        </row>
        <row r="346">
          <cell r="G346">
            <v>0</v>
          </cell>
          <cell r="H346">
            <v>0</v>
          </cell>
          <cell r="I346">
            <v>0</v>
          </cell>
        </row>
        <row r="352">
          <cell r="G352">
            <v>0</v>
          </cell>
          <cell r="H352">
            <v>0</v>
          </cell>
          <cell r="I352">
            <v>0</v>
          </cell>
        </row>
        <row r="353">
          <cell r="G353">
            <v>0</v>
          </cell>
          <cell r="H353">
            <v>0</v>
          </cell>
          <cell r="I353">
            <v>0</v>
          </cell>
        </row>
        <row r="354">
          <cell r="G354">
            <v>0</v>
          </cell>
          <cell r="H354">
            <v>0</v>
          </cell>
          <cell r="I354">
            <v>0</v>
          </cell>
        </row>
        <row r="360">
          <cell r="G360">
            <v>0</v>
          </cell>
          <cell r="H360">
            <v>0</v>
          </cell>
          <cell r="I360">
            <v>0</v>
          </cell>
        </row>
        <row r="361">
          <cell r="G361">
            <v>0</v>
          </cell>
          <cell r="H361">
            <v>0</v>
          </cell>
          <cell r="I361">
            <v>0</v>
          </cell>
        </row>
        <row r="362">
          <cell r="G362">
            <v>0</v>
          </cell>
          <cell r="H362">
            <v>0</v>
          </cell>
          <cell r="I362">
            <v>0</v>
          </cell>
        </row>
        <row r="368">
          <cell r="G368">
            <v>0</v>
          </cell>
          <cell r="H368">
            <v>0</v>
          </cell>
          <cell r="I368">
            <v>0</v>
          </cell>
        </row>
        <row r="369">
          <cell r="G369">
            <v>0</v>
          </cell>
          <cell r="H369">
            <v>0</v>
          </cell>
          <cell r="I369">
            <v>0</v>
          </cell>
        </row>
        <row r="370">
          <cell r="G370">
            <v>0</v>
          </cell>
          <cell r="H370">
            <v>0</v>
          </cell>
          <cell r="I370">
            <v>0</v>
          </cell>
        </row>
        <row r="376">
          <cell r="G376">
            <v>0</v>
          </cell>
          <cell r="H376">
            <v>0</v>
          </cell>
          <cell r="I376">
            <v>0</v>
          </cell>
        </row>
        <row r="377">
          <cell r="G377">
            <v>0</v>
          </cell>
          <cell r="H377">
            <v>0</v>
          </cell>
          <cell r="I377">
            <v>0</v>
          </cell>
        </row>
        <row r="378">
          <cell r="G378">
            <v>0</v>
          </cell>
          <cell r="H378">
            <v>0</v>
          </cell>
          <cell r="I378">
            <v>0</v>
          </cell>
        </row>
        <row r="384">
          <cell r="G384">
            <v>0</v>
          </cell>
          <cell r="H384">
            <v>0</v>
          </cell>
          <cell r="I384">
            <v>0</v>
          </cell>
        </row>
        <row r="385">
          <cell r="G385">
            <v>0</v>
          </cell>
          <cell r="H385">
            <v>0</v>
          </cell>
          <cell r="I385">
            <v>0</v>
          </cell>
        </row>
        <row r="386">
          <cell r="G386">
            <v>0</v>
          </cell>
          <cell r="H386">
            <v>0</v>
          </cell>
          <cell r="I386">
            <v>0</v>
          </cell>
        </row>
        <row r="392">
          <cell r="G392">
            <v>0</v>
          </cell>
          <cell r="H392">
            <v>0</v>
          </cell>
          <cell r="I392">
            <v>0</v>
          </cell>
        </row>
        <row r="393">
          <cell r="G393">
            <v>0</v>
          </cell>
          <cell r="H393">
            <v>0</v>
          </cell>
          <cell r="I393">
            <v>0</v>
          </cell>
        </row>
        <row r="394">
          <cell r="G394">
            <v>0</v>
          </cell>
          <cell r="H394">
            <v>0</v>
          </cell>
          <cell r="I394">
            <v>0</v>
          </cell>
        </row>
        <row r="400">
          <cell r="G400">
            <v>0</v>
          </cell>
          <cell r="H400">
            <v>0</v>
          </cell>
          <cell r="I400">
            <v>0</v>
          </cell>
        </row>
        <row r="401">
          <cell r="G401">
            <v>0</v>
          </cell>
          <cell r="H401">
            <v>0</v>
          </cell>
          <cell r="I401">
            <v>0</v>
          </cell>
        </row>
        <row r="402">
          <cell r="G402">
            <v>0</v>
          </cell>
          <cell r="H402">
            <v>0</v>
          </cell>
          <cell r="I402">
            <v>0</v>
          </cell>
        </row>
        <row r="408">
          <cell r="G408">
            <v>0</v>
          </cell>
          <cell r="H408">
            <v>0</v>
          </cell>
          <cell r="I408">
            <v>0</v>
          </cell>
        </row>
        <row r="409">
          <cell r="G409">
            <v>0</v>
          </cell>
          <cell r="H409">
            <v>0</v>
          </cell>
          <cell r="I409">
            <v>0</v>
          </cell>
        </row>
        <row r="410">
          <cell r="G410">
            <v>0</v>
          </cell>
          <cell r="H410">
            <v>0</v>
          </cell>
          <cell r="I410">
            <v>0</v>
          </cell>
        </row>
        <row r="416">
          <cell r="G416">
            <v>0</v>
          </cell>
          <cell r="H416">
            <v>0</v>
          </cell>
          <cell r="I416">
            <v>0</v>
          </cell>
        </row>
        <row r="417">
          <cell r="G417">
            <v>0</v>
          </cell>
          <cell r="H417">
            <v>0</v>
          </cell>
          <cell r="I417">
            <v>0</v>
          </cell>
        </row>
        <row r="418">
          <cell r="G418">
            <v>0</v>
          </cell>
          <cell r="H418">
            <v>0</v>
          </cell>
          <cell r="I418">
            <v>0</v>
          </cell>
        </row>
        <row r="424">
          <cell r="G424">
            <v>0</v>
          </cell>
          <cell r="H424">
            <v>0</v>
          </cell>
          <cell r="I424">
            <v>0</v>
          </cell>
        </row>
        <row r="425">
          <cell r="G425">
            <v>0</v>
          </cell>
          <cell r="H425">
            <v>0</v>
          </cell>
          <cell r="I425">
            <v>0</v>
          </cell>
        </row>
        <row r="426">
          <cell r="G426">
            <v>0</v>
          </cell>
          <cell r="H426">
            <v>0</v>
          </cell>
          <cell r="I426">
            <v>0</v>
          </cell>
        </row>
        <row r="432">
          <cell r="G432">
            <v>0</v>
          </cell>
          <cell r="H432">
            <v>0</v>
          </cell>
          <cell r="I432">
            <v>0</v>
          </cell>
        </row>
        <row r="433">
          <cell r="G433">
            <v>0</v>
          </cell>
          <cell r="H433">
            <v>0</v>
          </cell>
          <cell r="I433">
            <v>0</v>
          </cell>
        </row>
        <row r="434">
          <cell r="G434">
            <v>0</v>
          </cell>
          <cell r="H434">
            <v>0</v>
          </cell>
          <cell r="I434">
            <v>0</v>
          </cell>
        </row>
        <row r="440">
          <cell r="G440">
            <v>0</v>
          </cell>
          <cell r="H440">
            <v>0</v>
          </cell>
          <cell r="I440">
            <v>0</v>
          </cell>
        </row>
        <row r="441">
          <cell r="G441">
            <v>0</v>
          </cell>
          <cell r="H441">
            <v>0</v>
          </cell>
          <cell r="I441">
            <v>0</v>
          </cell>
        </row>
        <row r="442">
          <cell r="G442">
            <v>0</v>
          </cell>
          <cell r="H442">
            <v>0</v>
          </cell>
          <cell r="I442">
            <v>0</v>
          </cell>
        </row>
        <row r="448">
          <cell r="G448">
            <v>0</v>
          </cell>
          <cell r="H448">
            <v>0</v>
          </cell>
          <cell r="I448">
            <v>0</v>
          </cell>
        </row>
        <row r="449">
          <cell r="G449">
            <v>0</v>
          </cell>
          <cell r="H449">
            <v>0</v>
          </cell>
          <cell r="I449">
            <v>0</v>
          </cell>
        </row>
        <row r="450">
          <cell r="G450">
            <v>0</v>
          </cell>
          <cell r="H450">
            <v>0</v>
          </cell>
          <cell r="I450">
            <v>0</v>
          </cell>
        </row>
        <row r="456">
          <cell r="G456">
            <v>0</v>
          </cell>
          <cell r="H456">
            <v>0</v>
          </cell>
          <cell r="I456">
            <v>0</v>
          </cell>
        </row>
        <row r="457">
          <cell r="G457">
            <v>0</v>
          </cell>
          <cell r="H457">
            <v>0</v>
          </cell>
          <cell r="I457">
            <v>0</v>
          </cell>
        </row>
        <row r="458">
          <cell r="G458">
            <v>0</v>
          </cell>
          <cell r="H458">
            <v>0</v>
          </cell>
          <cell r="I458">
            <v>0</v>
          </cell>
        </row>
        <row r="464">
          <cell r="G464">
            <v>0</v>
          </cell>
          <cell r="H464">
            <v>0</v>
          </cell>
          <cell r="I464">
            <v>0</v>
          </cell>
        </row>
        <row r="465">
          <cell r="G465">
            <v>0</v>
          </cell>
          <cell r="H465">
            <v>0</v>
          </cell>
          <cell r="I465">
            <v>0</v>
          </cell>
        </row>
        <row r="466">
          <cell r="G466">
            <v>0</v>
          </cell>
          <cell r="H466">
            <v>0</v>
          </cell>
          <cell r="I466">
            <v>0</v>
          </cell>
        </row>
        <row r="472">
          <cell r="G472">
            <v>0</v>
          </cell>
          <cell r="H472">
            <v>0</v>
          </cell>
          <cell r="I472">
            <v>0</v>
          </cell>
        </row>
        <row r="473">
          <cell r="G473">
            <v>0</v>
          </cell>
          <cell r="H473">
            <v>0</v>
          </cell>
          <cell r="I473">
            <v>0</v>
          </cell>
        </row>
        <row r="474">
          <cell r="G474">
            <v>0</v>
          </cell>
          <cell r="H474">
            <v>0</v>
          </cell>
          <cell r="I474">
            <v>0</v>
          </cell>
        </row>
        <row r="480">
          <cell r="G480">
            <v>0</v>
          </cell>
          <cell r="H480">
            <v>0</v>
          </cell>
          <cell r="I480">
            <v>0</v>
          </cell>
        </row>
        <row r="481">
          <cell r="G481">
            <v>0</v>
          </cell>
          <cell r="H481">
            <v>0</v>
          </cell>
          <cell r="I481">
            <v>0</v>
          </cell>
        </row>
        <row r="482">
          <cell r="G482">
            <v>0</v>
          </cell>
          <cell r="H482">
            <v>0</v>
          </cell>
          <cell r="I482">
            <v>0</v>
          </cell>
        </row>
        <row r="488">
          <cell r="G488">
            <v>0</v>
          </cell>
          <cell r="H488">
            <v>0</v>
          </cell>
          <cell r="I488">
            <v>0</v>
          </cell>
        </row>
        <row r="489">
          <cell r="G489">
            <v>0</v>
          </cell>
          <cell r="H489">
            <v>0</v>
          </cell>
          <cell r="I489">
            <v>0</v>
          </cell>
        </row>
        <row r="490">
          <cell r="G490">
            <v>0</v>
          </cell>
          <cell r="H490">
            <v>0</v>
          </cell>
          <cell r="I490">
            <v>0</v>
          </cell>
        </row>
        <row r="496">
          <cell r="G496">
            <v>0</v>
          </cell>
          <cell r="H496">
            <v>0</v>
          </cell>
          <cell r="I496">
            <v>0</v>
          </cell>
        </row>
        <row r="497">
          <cell r="G497">
            <v>0</v>
          </cell>
          <cell r="H497">
            <v>0</v>
          </cell>
          <cell r="I497">
            <v>0</v>
          </cell>
        </row>
        <row r="498">
          <cell r="G498">
            <v>0</v>
          </cell>
          <cell r="H498">
            <v>0</v>
          </cell>
          <cell r="I498">
            <v>0</v>
          </cell>
        </row>
        <row r="504">
          <cell r="G504">
            <v>0</v>
          </cell>
          <cell r="H504">
            <v>0</v>
          </cell>
          <cell r="I504">
            <v>0</v>
          </cell>
        </row>
        <row r="505">
          <cell r="G505">
            <v>0</v>
          </cell>
          <cell r="H505">
            <v>0</v>
          </cell>
          <cell r="I505">
            <v>0</v>
          </cell>
        </row>
        <row r="506">
          <cell r="G506">
            <v>0</v>
          </cell>
          <cell r="H506">
            <v>0</v>
          </cell>
          <cell r="I506">
            <v>0</v>
          </cell>
        </row>
        <row r="512">
          <cell r="G512">
            <v>0</v>
          </cell>
          <cell r="H512">
            <v>0</v>
          </cell>
          <cell r="I512">
            <v>0</v>
          </cell>
        </row>
        <row r="513">
          <cell r="G513">
            <v>0</v>
          </cell>
          <cell r="H513">
            <v>0</v>
          </cell>
          <cell r="I513">
            <v>0</v>
          </cell>
        </row>
        <row r="514">
          <cell r="G514">
            <v>0</v>
          </cell>
          <cell r="H514">
            <v>0</v>
          </cell>
          <cell r="I514">
            <v>0</v>
          </cell>
        </row>
        <row r="520">
          <cell r="G520">
            <v>0</v>
          </cell>
          <cell r="H520">
            <v>0</v>
          </cell>
          <cell r="I520">
            <v>0</v>
          </cell>
        </row>
        <row r="521">
          <cell r="G521">
            <v>0</v>
          </cell>
          <cell r="H521">
            <v>0</v>
          </cell>
          <cell r="I521">
            <v>0</v>
          </cell>
        </row>
        <row r="522">
          <cell r="G522">
            <v>0</v>
          </cell>
          <cell r="H522">
            <v>0</v>
          </cell>
          <cell r="I522">
            <v>0</v>
          </cell>
        </row>
        <row r="528">
          <cell r="G528">
            <v>0</v>
          </cell>
          <cell r="H528">
            <v>0</v>
          </cell>
          <cell r="I528">
            <v>0</v>
          </cell>
        </row>
        <row r="529">
          <cell r="G529">
            <v>0</v>
          </cell>
          <cell r="H529">
            <v>0</v>
          </cell>
          <cell r="I529">
            <v>0</v>
          </cell>
        </row>
        <row r="530">
          <cell r="G530">
            <v>0</v>
          </cell>
          <cell r="H530">
            <v>0</v>
          </cell>
          <cell r="I530">
            <v>0</v>
          </cell>
        </row>
        <row r="536">
          <cell r="G536">
            <v>0</v>
          </cell>
          <cell r="H536">
            <v>0</v>
          </cell>
          <cell r="I536">
            <v>0</v>
          </cell>
        </row>
        <row r="537">
          <cell r="G537">
            <v>0</v>
          </cell>
          <cell r="H537">
            <v>0</v>
          </cell>
          <cell r="I537">
            <v>0</v>
          </cell>
        </row>
        <row r="538">
          <cell r="G538">
            <v>0</v>
          </cell>
          <cell r="H538">
            <v>0</v>
          </cell>
          <cell r="I538">
            <v>0</v>
          </cell>
        </row>
        <row r="544">
          <cell r="G544">
            <v>0</v>
          </cell>
          <cell r="H544">
            <v>0</v>
          </cell>
          <cell r="I544">
            <v>0</v>
          </cell>
        </row>
        <row r="545">
          <cell r="G545">
            <v>0</v>
          </cell>
          <cell r="H545">
            <v>0</v>
          </cell>
          <cell r="I545">
            <v>0</v>
          </cell>
        </row>
        <row r="546">
          <cell r="G546">
            <v>0</v>
          </cell>
          <cell r="H546">
            <v>0</v>
          </cell>
          <cell r="I546">
            <v>0</v>
          </cell>
        </row>
        <row r="552">
          <cell r="G552">
            <v>0</v>
          </cell>
          <cell r="H552">
            <v>0</v>
          </cell>
          <cell r="I552">
            <v>0</v>
          </cell>
        </row>
        <row r="553">
          <cell r="G553">
            <v>0</v>
          </cell>
          <cell r="H553">
            <v>0</v>
          </cell>
          <cell r="I553">
            <v>0</v>
          </cell>
        </row>
        <row r="554">
          <cell r="G554">
            <v>0</v>
          </cell>
          <cell r="H554">
            <v>0</v>
          </cell>
          <cell r="I554">
            <v>0</v>
          </cell>
        </row>
        <row r="560">
          <cell r="G560">
            <v>0</v>
          </cell>
          <cell r="H560">
            <v>0</v>
          </cell>
          <cell r="I560">
            <v>0</v>
          </cell>
        </row>
        <row r="561">
          <cell r="G561">
            <v>0</v>
          </cell>
          <cell r="H561">
            <v>0</v>
          </cell>
          <cell r="I561">
            <v>0</v>
          </cell>
        </row>
        <row r="562">
          <cell r="G562">
            <v>0</v>
          </cell>
          <cell r="H562">
            <v>0</v>
          </cell>
          <cell r="I562">
            <v>0</v>
          </cell>
        </row>
        <row r="568">
          <cell r="G568">
            <v>0</v>
          </cell>
          <cell r="H568">
            <v>0</v>
          </cell>
          <cell r="I568">
            <v>0</v>
          </cell>
        </row>
        <row r="569">
          <cell r="G569">
            <v>0</v>
          </cell>
          <cell r="H569">
            <v>0</v>
          </cell>
          <cell r="I569">
            <v>0</v>
          </cell>
        </row>
        <row r="570">
          <cell r="G570">
            <v>0</v>
          </cell>
          <cell r="H570">
            <v>0</v>
          </cell>
          <cell r="I570">
            <v>0</v>
          </cell>
        </row>
        <row r="584">
          <cell r="G584">
            <v>0</v>
          </cell>
          <cell r="H584">
            <v>0</v>
          </cell>
          <cell r="I584">
            <v>0</v>
          </cell>
        </row>
        <row r="585">
          <cell r="G585">
            <v>0</v>
          </cell>
          <cell r="H585">
            <v>0</v>
          </cell>
          <cell r="I585">
            <v>0</v>
          </cell>
        </row>
        <row r="586">
          <cell r="G586">
            <v>0</v>
          </cell>
          <cell r="H586">
            <v>0</v>
          </cell>
          <cell r="I586">
            <v>0</v>
          </cell>
        </row>
        <row r="592">
          <cell r="G592">
            <v>0</v>
          </cell>
          <cell r="H592">
            <v>0</v>
          </cell>
          <cell r="I592">
            <v>0</v>
          </cell>
        </row>
        <row r="593">
          <cell r="G593">
            <v>0</v>
          </cell>
          <cell r="H593">
            <v>0</v>
          </cell>
          <cell r="I593">
            <v>0</v>
          </cell>
        </row>
        <row r="594">
          <cell r="G594">
            <v>0</v>
          </cell>
          <cell r="H594">
            <v>0</v>
          </cell>
          <cell r="I594">
            <v>0</v>
          </cell>
        </row>
      </sheetData>
      <sheetData sheetId="2"/>
      <sheetData sheetId="3">
        <row r="16">
          <cell r="L16">
            <v>4921</v>
          </cell>
        </row>
      </sheetData>
      <sheetData sheetId="4"/>
      <sheetData sheetId="5"/>
      <sheetData sheetId="6"/>
      <sheetData sheetId="7"/>
      <sheetData sheetId="8"/>
      <sheetData sheetId="9">
        <row r="6">
          <cell r="F6">
            <v>528911.6</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8"/>
  <sheetViews>
    <sheetView view="pageBreakPreview" topLeftCell="A278" zoomScale="120" zoomScaleNormal="120" zoomScaleSheetLayoutView="120" workbookViewId="0">
      <selection activeCell="K281" sqref="K281:K286"/>
    </sheetView>
  </sheetViews>
  <sheetFormatPr defaultColWidth="8.85546875" defaultRowHeight="15"/>
  <cols>
    <col min="1" max="1" width="7.28515625" style="54" customWidth="1"/>
    <col min="2" max="2" width="17.140625" style="1" customWidth="1"/>
    <col min="3" max="3" width="8.7109375" style="2" customWidth="1"/>
    <col min="4" max="4" width="8.85546875" style="41" customWidth="1"/>
    <col min="5" max="5" width="9.140625" style="4" bestFit="1" customWidth="1"/>
    <col min="6" max="6" width="9.140625" style="3" bestFit="1" customWidth="1"/>
    <col min="7" max="9" width="7.85546875" style="4" bestFit="1" customWidth="1"/>
    <col min="10" max="10" width="26.7109375" style="5" customWidth="1"/>
    <col min="11" max="11" width="17" style="6" customWidth="1"/>
    <col min="257" max="257" width="7.28515625" customWidth="1"/>
    <col min="258" max="258" width="17.140625" customWidth="1"/>
    <col min="259" max="259" width="8.7109375" customWidth="1"/>
    <col min="260" max="260" width="8.85546875" customWidth="1"/>
    <col min="261" max="262" width="9.140625" bestFit="1" customWidth="1"/>
    <col min="263" max="265" width="7.85546875" bestFit="1" customWidth="1"/>
    <col min="266" max="266" width="26.7109375" customWidth="1"/>
    <col min="267" max="267" width="17" customWidth="1"/>
    <col min="513" max="513" width="7.28515625" customWidth="1"/>
    <col min="514" max="514" width="17.140625" customWidth="1"/>
    <col min="515" max="515" width="8.7109375" customWidth="1"/>
    <col min="516" max="516" width="8.85546875" customWidth="1"/>
    <col min="517" max="518" width="9.140625" bestFit="1" customWidth="1"/>
    <col min="519" max="521" width="7.85546875" bestFit="1" customWidth="1"/>
    <col min="522" max="522" width="26.7109375" customWidth="1"/>
    <col min="523" max="523" width="17" customWidth="1"/>
    <col min="769" max="769" width="7.28515625" customWidth="1"/>
    <col min="770" max="770" width="17.140625" customWidth="1"/>
    <col min="771" max="771" width="8.7109375" customWidth="1"/>
    <col min="772" max="772" width="8.85546875" customWidth="1"/>
    <col min="773" max="774" width="9.140625" bestFit="1" customWidth="1"/>
    <col min="775" max="777" width="7.85546875" bestFit="1" customWidth="1"/>
    <col min="778" max="778" width="26.7109375" customWidth="1"/>
    <col min="779" max="779" width="17" customWidth="1"/>
    <col min="1025" max="1025" width="7.28515625" customWidth="1"/>
    <col min="1026" max="1026" width="17.140625" customWidth="1"/>
    <col min="1027" max="1027" width="8.7109375" customWidth="1"/>
    <col min="1028" max="1028" width="8.85546875" customWidth="1"/>
    <col min="1029" max="1030" width="9.140625" bestFit="1" customWidth="1"/>
    <col min="1031" max="1033" width="7.85546875" bestFit="1" customWidth="1"/>
    <col min="1034" max="1034" width="26.7109375" customWidth="1"/>
    <col min="1035" max="1035" width="17" customWidth="1"/>
    <col min="1281" max="1281" width="7.28515625" customWidth="1"/>
    <col min="1282" max="1282" width="17.140625" customWidth="1"/>
    <col min="1283" max="1283" width="8.7109375" customWidth="1"/>
    <col min="1284" max="1284" width="8.85546875" customWidth="1"/>
    <col min="1285" max="1286" width="9.140625" bestFit="1" customWidth="1"/>
    <col min="1287" max="1289" width="7.85546875" bestFit="1" customWidth="1"/>
    <col min="1290" max="1290" width="26.7109375" customWidth="1"/>
    <col min="1291" max="1291" width="17" customWidth="1"/>
    <col min="1537" max="1537" width="7.28515625" customWidth="1"/>
    <col min="1538" max="1538" width="17.140625" customWidth="1"/>
    <col min="1539" max="1539" width="8.7109375" customWidth="1"/>
    <col min="1540" max="1540" width="8.85546875" customWidth="1"/>
    <col min="1541" max="1542" width="9.140625" bestFit="1" customWidth="1"/>
    <col min="1543" max="1545" width="7.85546875" bestFit="1" customWidth="1"/>
    <col min="1546" max="1546" width="26.7109375" customWidth="1"/>
    <col min="1547" max="1547" width="17" customWidth="1"/>
    <col min="1793" max="1793" width="7.28515625" customWidth="1"/>
    <col min="1794" max="1794" width="17.140625" customWidth="1"/>
    <col min="1795" max="1795" width="8.7109375" customWidth="1"/>
    <col min="1796" max="1796" width="8.85546875" customWidth="1"/>
    <col min="1797" max="1798" width="9.140625" bestFit="1" customWidth="1"/>
    <col min="1799" max="1801" width="7.85546875" bestFit="1" customWidth="1"/>
    <col min="1802" max="1802" width="26.7109375" customWidth="1"/>
    <col min="1803" max="1803" width="17" customWidth="1"/>
    <col min="2049" max="2049" width="7.28515625" customWidth="1"/>
    <col min="2050" max="2050" width="17.140625" customWidth="1"/>
    <col min="2051" max="2051" width="8.7109375" customWidth="1"/>
    <col min="2052" max="2052" width="8.85546875" customWidth="1"/>
    <col min="2053" max="2054" width="9.140625" bestFit="1" customWidth="1"/>
    <col min="2055" max="2057" width="7.85546875" bestFit="1" customWidth="1"/>
    <col min="2058" max="2058" width="26.7109375" customWidth="1"/>
    <col min="2059" max="2059" width="17" customWidth="1"/>
    <col min="2305" max="2305" width="7.28515625" customWidth="1"/>
    <col min="2306" max="2306" width="17.140625" customWidth="1"/>
    <col min="2307" max="2307" width="8.7109375" customWidth="1"/>
    <col min="2308" max="2308" width="8.85546875" customWidth="1"/>
    <col min="2309" max="2310" width="9.140625" bestFit="1" customWidth="1"/>
    <col min="2311" max="2313" width="7.85546875" bestFit="1" customWidth="1"/>
    <col min="2314" max="2314" width="26.7109375" customWidth="1"/>
    <col min="2315" max="2315" width="17" customWidth="1"/>
    <col min="2561" max="2561" width="7.28515625" customWidth="1"/>
    <col min="2562" max="2562" width="17.140625" customWidth="1"/>
    <col min="2563" max="2563" width="8.7109375" customWidth="1"/>
    <col min="2564" max="2564" width="8.85546875" customWidth="1"/>
    <col min="2565" max="2566" width="9.140625" bestFit="1" customWidth="1"/>
    <col min="2567" max="2569" width="7.85546875" bestFit="1" customWidth="1"/>
    <col min="2570" max="2570" width="26.7109375" customWidth="1"/>
    <col min="2571" max="2571" width="17" customWidth="1"/>
    <col min="2817" max="2817" width="7.28515625" customWidth="1"/>
    <col min="2818" max="2818" width="17.140625" customWidth="1"/>
    <col min="2819" max="2819" width="8.7109375" customWidth="1"/>
    <col min="2820" max="2820" width="8.85546875" customWidth="1"/>
    <col min="2821" max="2822" width="9.140625" bestFit="1" customWidth="1"/>
    <col min="2823" max="2825" width="7.85546875" bestFit="1" customWidth="1"/>
    <col min="2826" max="2826" width="26.7109375" customWidth="1"/>
    <col min="2827" max="2827" width="17" customWidth="1"/>
    <col min="3073" max="3073" width="7.28515625" customWidth="1"/>
    <col min="3074" max="3074" width="17.140625" customWidth="1"/>
    <col min="3075" max="3075" width="8.7109375" customWidth="1"/>
    <col min="3076" max="3076" width="8.85546875" customWidth="1"/>
    <col min="3077" max="3078" width="9.140625" bestFit="1" customWidth="1"/>
    <col min="3079" max="3081" width="7.85546875" bestFit="1" customWidth="1"/>
    <col min="3082" max="3082" width="26.7109375" customWidth="1"/>
    <col min="3083" max="3083" width="17" customWidth="1"/>
    <col min="3329" max="3329" width="7.28515625" customWidth="1"/>
    <col min="3330" max="3330" width="17.140625" customWidth="1"/>
    <col min="3331" max="3331" width="8.7109375" customWidth="1"/>
    <col min="3332" max="3332" width="8.85546875" customWidth="1"/>
    <col min="3333" max="3334" width="9.140625" bestFit="1" customWidth="1"/>
    <col min="3335" max="3337" width="7.85546875" bestFit="1" customWidth="1"/>
    <col min="3338" max="3338" width="26.7109375" customWidth="1"/>
    <col min="3339" max="3339" width="17" customWidth="1"/>
    <col min="3585" max="3585" width="7.28515625" customWidth="1"/>
    <col min="3586" max="3586" width="17.140625" customWidth="1"/>
    <col min="3587" max="3587" width="8.7109375" customWidth="1"/>
    <col min="3588" max="3588" width="8.85546875" customWidth="1"/>
    <col min="3589" max="3590" width="9.140625" bestFit="1" customWidth="1"/>
    <col min="3591" max="3593" width="7.85546875" bestFit="1" customWidth="1"/>
    <col min="3594" max="3594" width="26.7109375" customWidth="1"/>
    <col min="3595" max="3595" width="17" customWidth="1"/>
    <col min="3841" max="3841" width="7.28515625" customWidth="1"/>
    <col min="3842" max="3842" width="17.140625" customWidth="1"/>
    <col min="3843" max="3843" width="8.7109375" customWidth="1"/>
    <col min="3844" max="3844" width="8.85546875" customWidth="1"/>
    <col min="3845" max="3846" width="9.140625" bestFit="1" customWidth="1"/>
    <col min="3847" max="3849" width="7.85546875" bestFit="1" customWidth="1"/>
    <col min="3850" max="3850" width="26.7109375" customWidth="1"/>
    <col min="3851" max="3851" width="17" customWidth="1"/>
    <col min="4097" max="4097" width="7.28515625" customWidth="1"/>
    <col min="4098" max="4098" width="17.140625" customWidth="1"/>
    <col min="4099" max="4099" width="8.7109375" customWidth="1"/>
    <col min="4100" max="4100" width="8.85546875" customWidth="1"/>
    <col min="4101" max="4102" width="9.140625" bestFit="1" customWidth="1"/>
    <col min="4103" max="4105" width="7.85546875" bestFit="1" customWidth="1"/>
    <col min="4106" max="4106" width="26.7109375" customWidth="1"/>
    <col min="4107" max="4107" width="17" customWidth="1"/>
    <col min="4353" max="4353" width="7.28515625" customWidth="1"/>
    <col min="4354" max="4354" width="17.140625" customWidth="1"/>
    <col min="4355" max="4355" width="8.7109375" customWidth="1"/>
    <col min="4356" max="4356" width="8.85546875" customWidth="1"/>
    <col min="4357" max="4358" width="9.140625" bestFit="1" customWidth="1"/>
    <col min="4359" max="4361" width="7.85546875" bestFit="1" customWidth="1"/>
    <col min="4362" max="4362" width="26.7109375" customWidth="1"/>
    <col min="4363" max="4363" width="17" customWidth="1"/>
    <col min="4609" max="4609" width="7.28515625" customWidth="1"/>
    <col min="4610" max="4610" width="17.140625" customWidth="1"/>
    <col min="4611" max="4611" width="8.7109375" customWidth="1"/>
    <col min="4612" max="4612" width="8.85546875" customWidth="1"/>
    <col min="4613" max="4614" width="9.140625" bestFit="1" customWidth="1"/>
    <col min="4615" max="4617" width="7.85546875" bestFit="1" customWidth="1"/>
    <col min="4618" max="4618" width="26.7109375" customWidth="1"/>
    <col min="4619" max="4619" width="17" customWidth="1"/>
    <col min="4865" max="4865" width="7.28515625" customWidth="1"/>
    <col min="4866" max="4866" width="17.140625" customWidth="1"/>
    <col min="4867" max="4867" width="8.7109375" customWidth="1"/>
    <col min="4868" max="4868" width="8.85546875" customWidth="1"/>
    <col min="4869" max="4870" width="9.140625" bestFit="1" customWidth="1"/>
    <col min="4871" max="4873" width="7.85546875" bestFit="1" customWidth="1"/>
    <col min="4874" max="4874" width="26.7109375" customWidth="1"/>
    <col min="4875" max="4875" width="17" customWidth="1"/>
    <col min="5121" max="5121" width="7.28515625" customWidth="1"/>
    <col min="5122" max="5122" width="17.140625" customWidth="1"/>
    <col min="5123" max="5123" width="8.7109375" customWidth="1"/>
    <col min="5124" max="5124" width="8.85546875" customWidth="1"/>
    <col min="5125" max="5126" width="9.140625" bestFit="1" customWidth="1"/>
    <col min="5127" max="5129" width="7.85546875" bestFit="1" customWidth="1"/>
    <col min="5130" max="5130" width="26.7109375" customWidth="1"/>
    <col min="5131" max="5131" width="17" customWidth="1"/>
    <col min="5377" max="5377" width="7.28515625" customWidth="1"/>
    <col min="5378" max="5378" width="17.140625" customWidth="1"/>
    <col min="5379" max="5379" width="8.7109375" customWidth="1"/>
    <col min="5380" max="5380" width="8.85546875" customWidth="1"/>
    <col min="5381" max="5382" width="9.140625" bestFit="1" customWidth="1"/>
    <col min="5383" max="5385" width="7.85546875" bestFit="1" customWidth="1"/>
    <col min="5386" max="5386" width="26.7109375" customWidth="1"/>
    <col min="5387" max="5387" width="17" customWidth="1"/>
    <col min="5633" max="5633" width="7.28515625" customWidth="1"/>
    <col min="5634" max="5634" width="17.140625" customWidth="1"/>
    <col min="5635" max="5635" width="8.7109375" customWidth="1"/>
    <col min="5636" max="5636" width="8.85546875" customWidth="1"/>
    <col min="5637" max="5638" width="9.140625" bestFit="1" customWidth="1"/>
    <col min="5639" max="5641" width="7.85546875" bestFit="1" customWidth="1"/>
    <col min="5642" max="5642" width="26.7109375" customWidth="1"/>
    <col min="5643" max="5643" width="17" customWidth="1"/>
    <col min="5889" max="5889" width="7.28515625" customWidth="1"/>
    <col min="5890" max="5890" width="17.140625" customWidth="1"/>
    <col min="5891" max="5891" width="8.7109375" customWidth="1"/>
    <col min="5892" max="5892" width="8.85546875" customWidth="1"/>
    <col min="5893" max="5894" width="9.140625" bestFit="1" customWidth="1"/>
    <col min="5895" max="5897" width="7.85546875" bestFit="1" customWidth="1"/>
    <col min="5898" max="5898" width="26.7109375" customWidth="1"/>
    <col min="5899" max="5899" width="17" customWidth="1"/>
    <col min="6145" max="6145" width="7.28515625" customWidth="1"/>
    <col min="6146" max="6146" width="17.140625" customWidth="1"/>
    <col min="6147" max="6147" width="8.7109375" customWidth="1"/>
    <col min="6148" max="6148" width="8.85546875" customWidth="1"/>
    <col min="6149" max="6150" width="9.140625" bestFit="1" customWidth="1"/>
    <col min="6151" max="6153" width="7.85546875" bestFit="1" customWidth="1"/>
    <col min="6154" max="6154" width="26.7109375" customWidth="1"/>
    <col min="6155" max="6155" width="17" customWidth="1"/>
    <col min="6401" max="6401" width="7.28515625" customWidth="1"/>
    <col min="6402" max="6402" width="17.140625" customWidth="1"/>
    <col min="6403" max="6403" width="8.7109375" customWidth="1"/>
    <col min="6404" max="6404" width="8.85546875" customWidth="1"/>
    <col min="6405" max="6406" width="9.140625" bestFit="1" customWidth="1"/>
    <col min="6407" max="6409" width="7.85546875" bestFit="1" customWidth="1"/>
    <col min="6410" max="6410" width="26.7109375" customWidth="1"/>
    <col min="6411" max="6411" width="17" customWidth="1"/>
    <col min="6657" max="6657" width="7.28515625" customWidth="1"/>
    <col min="6658" max="6658" width="17.140625" customWidth="1"/>
    <col min="6659" max="6659" width="8.7109375" customWidth="1"/>
    <col min="6660" max="6660" width="8.85546875" customWidth="1"/>
    <col min="6661" max="6662" width="9.140625" bestFit="1" customWidth="1"/>
    <col min="6663" max="6665" width="7.85546875" bestFit="1" customWidth="1"/>
    <col min="6666" max="6666" width="26.7109375" customWidth="1"/>
    <col min="6667" max="6667" width="17" customWidth="1"/>
    <col min="6913" max="6913" width="7.28515625" customWidth="1"/>
    <col min="6914" max="6914" width="17.140625" customWidth="1"/>
    <col min="6915" max="6915" width="8.7109375" customWidth="1"/>
    <col min="6916" max="6916" width="8.85546875" customWidth="1"/>
    <col min="6917" max="6918" width="9.140625" bestFit="1" customWidth="1"/>
    <col min="6919" max="6921" width="7.85546875" bestFit="1" customWidth="1"/>
    <col min="6922" max="6922" width="26.7109375" customWidth="1"/>
    <col min="6923" max="6923" width="17" customWidth="1"/>
    <col min="7169" max="7169" width="7.28515625" customWidth="1"/>
    <col min="7170" max="7170" width="17.140625" customWidth="1"/>
    <col min="7171" max="7171" width="8.7109375" customWidth="1"/>
    <col min="7172" max="7172" width="8.85546875" customWidth="1"/>
    <col min="7173" max="7174" width="9.140625" bestFit="1" customWidth="1"/>
    <col min="7175" max="7177" width="7.85546875" bestFit="1" customWidth="1"/>
    <col min="7178" max="7178" width="26.7109375" customWidth="1"/>
    <col min="7179" max="7179" width="17" customWidth="1"/>
    <col min="7425" max="7425" width="7.28515625" customWidth="1"/>
    <col min="7426" max="7426" width="17.140625" customWidth="1"/>
    <col min="7427" max="7427" width="8.7109375" customWidth="1"/>
    <col min="7428" max="7428" width="8.85546875" customWidth="1"/>
    <col min="7429" max="7430" width="9.140625" bestFit="1" customWidth="1"/>
    <col min="7431" max="7433" width="7.85546875" bestFit="1" customWidth="1"/>
    <col min="7434" max="7434" width="26.7109375" customWidth="1"/>
    <col min="7435" max="7435" width="17" customWidth="1"/>
    <col min="7681" max="7681" width="7.28515625" customWidth="1"/>
    <col min="7682" max="7682" width="17.140625" customWidth="1"/>
    <col min="7683" max="7683" width="8.7109375" customWidth="1"/>
    <col min="7684" max="7684" width="8.85546875" customWidth="1"/>
    <col min="7685" max="7686" width="9.140625" bestFit="1" customWidth="1"/>
    <col min="7687" max="7689" width="7.85546875" bestFit="1" customWidth="1"/>
    <col min="7690" max="7690" width="26.7109375" customWidth="1"/>
    <col min="7691" max="7691" width="17" customWidth="1"/>
    <col min="7937" max="7937" width="7.28515625" customWidth="1"/>
    <col min="7938" max="7938" width="17.140625" customWidth="1"/>
    <col min="7939" max="7939" width="8.7109375" customWidth="1"/>
    <col min="7940" max="7940" width="8.85546875" customWidth="1"/>
    <col min="7941" max="7942" width="9.140625" bestFit="1" customWidth="1"/>
    <col min="7943" max="7945" width="7.85546875" bestFit="1" customWidth="1"/>
    <col min="7946" max="7946" width="26.7109375" customWidth="1"/>
    <col min="7947" max="7947" width="17" customWidth="1"/>
    <col min="8193" max="8193" width="7.28515625" customWidth="1"/>
    <col min="8194" max="8194" width="17.140625" customWidth="1"/>
    <col min="8195" max="8195" width="8.7109375" customWidth="1"/>
    <col min="8196" max="8196" width="8.85546875" customWidth="1"/>
    <col min="8197" max="8198" width="9.140625" bestFit="1" customWidth="1"/>
    <col min="8199" max="8201" width="7.85546875" bestFit="1" customWidth="1"/>
    <col min="8202" max="8202" width="26.7109375" customWidth="1"/>
    <col min="8203" max="8203" width="17" customWidth="1"/>
    <col min="8449" max="8449" width="7.28515625" customWidth="1"/>
    <col min="8450" max="8450" width="17.140625" customWidth="1"/>
    <col min="8451" max="8451" width="8.7109375" customWidth="1"/>
    <col min="8452" max="8452" width="8.85546875" customWidth="1"/>
    <col min="8453" max="8454" width="9.140625" bestFit="1" customWidth="1"/>
    <col min="8455" max="8457" width="7.85546875" bestFit="1" customWidth="1"/>
    <col min="8458" max="8458" width="26.7109375" customWidth="1"/>
    <col min="8459" max="8459" width="17" customWidth="1"/>
    <col min="8705" max="8705" width="7.28515625" customWidth="1"/>
    <col min="8706" max="8706" width="17.140625" customWidth="1"/>
    <col min="8707" max="8707" width="8.7109375" customWidth="1"/>
    <col min="8708" max="8708" width="8.85546875" customWidth="1"/>
    <col min="8709" max="8710" width="9.140625" bestFit="1" customWidth="1"/>
    <col min="8711" max="8713" width="7.85546875" bestFit="1" customWidth="1"/>
    <col min="8714" max="8714" width="26.7109375" customWidth="1"/>
    <col min="8715" max="8715" width="17" customWidth="1"/>
    <col min="8961" max="8961" width="7.28515625" customWidth="1"/>
    <col min="8962" max="8962" width="17.140625" customWidth="1"/>
    <col min="8963" max="8963" width="8.7109375" customWidth="1"/>
    <col min="8964" max="8964" width="8.85546875" customWidth="1"/>
    <col min="8965" max="8966" width="9.140625" bestFit="1" customWidth="1"/>
    <col min="8967" max="8969" width="7.85546875" bestFit="1" customWidth="1"/>
    <col min="8970" max="8970" width="26.7109375" customWidth="1"/>
    <col min="8971" max="8971" width="17" customWidth="1"/>
    <col min="9217" max="9217" width="7.28515625" customWidth="1"/>
    <col min="9218" max="9218" width="17.140625" customWidth="1"/>
    <col min="9219" max="9219" width="8.7109375" customWidth="1"/>
    <col min="9220" max="9220" width="8.85546875" customWidth="1"/>
    <col min="9221" max="9222" width="9.140625" bestFit="1" customWidth="1"/>
    <col min="9223" max="9225" width="7.85546875" bestFit="1" customWidth="1"/>
    <col min="9226" max="9226" width="26.7109375" customWidth="1"/>
    <col min="9227" max="9227" width="17" customWidth="1"/>
    <col min="9473" max="9473" width="7.28515625" customWidth="1"/>
    <col min="9474" max="9474" width="17.140625" customWidth="1"/>
    <col min="9475" max="9475" width="8.7109375" customWidth="1"/>
    <col min="9476" max="9476" width="8.85546875" customWidth="1"/>
    <col min="9477" max="9478" width="9.140625" bestFit="1" customWidth="1"/>
    <col min="9479" max="9481" width="7.85546875" bestFit="1" customWidth="1"/>
    <col min="9482" max="9482" width="26.7109375" customWidth="1"/>
    <col min="9483" max="9483" width="17" customWidth="1"/>
    <col min="9729" max="9729" width="7.28515625" customWidth="1"/>
    <col min="9730" max="9730" width="17.140625" customWidth="1"/>
    <col min="9731" max="9731" width="8.7109375" customWidth="1"/>
    <col min="9732" max="9732" width="8.85546875" customWidth="1"/>
    <col min="9733" max="9734" width="9.140625" bestFit="1" customWidth="1"/>
    <col min="9735" max="9737" width="7.85546875" bestFit="1" customWidth="1"/>
    <col min="9738" max="9738" width="26.7109375" customWidth="1"/>
    <col min="9739" max="9739" width="17" customWidth="1"/>
    <col min="9985" max="9985" width="7.28515625" customWidth="1"/>
    <col min="9986" max="9986" width="17.140625" customWidth="1"/>
    <col min="9987" max="9987" width="8.7109375" customWidth="1"/>
    <col min="9988" max="9988" width="8.85546875" customWidth="1"/>
    <col min="9989" max="9990" width="9.140625" bestFit="1" customWidth="1"/>
    <col min="9991" max="9993" width="7.85546875" bestFit="1" customWidth="1"/>
    <col min="9994" max="9994" width="26.7109375" customWidth="1"/>
    <col min="9995" max="9995" width="17" customWidth="1"/>
    <col min="10241" max="10241" width="7.28515625" customWidth="1"/>
    <col min="10242" max="10242" width="17.140625" customWidth="1"/>
    <col min="10243" max="10243" width="8.7109375" customWidth="1"/>
    <col min="10244" max="10244" width="8.85546875" customWidth="1"/>
    <col min="10245" max="10246" width="9.140625" bestFit="1" customWidth="1"/>
    <col min="10247" max="10249" width="7.85546875" bestFit="1" customWidth="1"/>
    <col min="10250" max="10250" width="26.7109375" customWidth="1"/>
    <col min="10251" max="10251" width="17" customWidth="1"/>
    <col min="10497" max="10497" width="7.28515625" customWidth="1"/>
    <col min="10498" max="10498" width="17.140625" customWidth="1"/>
    <col min="10499" max="10499" width="8.7109375" customWidth="1"/>
    <col min="10500" max="10500" width="8.85546875" customWidth="1"/>
    <col min="10501" max="10502" width="9.140625" bestFit="1" customWidth="1"/>
    <col min="10503" max="10505" width="7.85546875" bestFit="1" customWidth="1"/>
    <col min="10506" max="10506" width="26.7109375" customWidth="1"/>
    <col min="10507" max="10507" width="17" customWidth="1"/>
    <col min="10753" max="10753" width="7.28515625" customWidth="1"/>
    <col min="10754" max="10754" width="17.140625" customWidth="1"/>
    <col min="10755" max="10755" width="8.7109375" customWidth="1"/>
    <col min="10756" max="10756" width="8.85546875" customWidth="1"/>
    <col min="10757" max="10758" width="9.140625" bestFit="1" customWidth="1"/>
    <col min="10759" max="10761" width="7.85546875" bestFit="1" customWidth="1"/>
    <col min="10762" max="10762" width="26.7109375" customWidth="1"/>
    <col min="10763" max="10763" width="17" customWidth="1"/>
    <col min="11009" max="11009" width="7.28515625" customWidth="1"/>
    <col min="11010" max="11010" width="17.140625" customWidth="1"/>
    <col min="11011" max="11011" width="8.7109375" customWidth="1"/>
    <col min="11012" max="11012" width="8.85546875" customWidth="1"/>
    <col min="11013" max="11014" width="9.140625" bestFit="1" customWidth="1"/>
    <col min="11015" max="11017" width="7.85546875" bestFit="1" customWidth="1"/>
    <col min="11018" max="11018" width="26.7109375" customWidth="1"/>
    <col min="11019" max="11019" width="17" customWidth="1"/>
    <col min="11265" max="11265" width="7.28515625" customWidth="1"/>
    <col min="11266" max="11266" width="17.140625" customWidth="1"/>
    <col min="11267" max="11267" width="8.7109375" customWidth="1"/>
    <col min="11268" max="11268" width="8.85546875" customWidth="1"/>
    <col min="11269" max="11270" width="9.140625" bestFit="1" customWidth="1"/>
    <col min="11271" max="11273" width="7.85546875" bestFit="1" customWidth="1"/>
    <col min="11274" max="11274" width="26.7109375" customWidth="1"/>
    <col min="11275" max="11275" width="17" customWidth="1"/>
    <col min="11521" max="11521" width="7.28515625" customWidth="1"/>
    <col min="11522" max="11522" width="17.140625" customWidth="1"/>
    <col min="11523" max="11523" width="8.7109375" customWidth="1"/>
    <col min="11524" max="11524" width="8.85546875" customWidth="1"/>
    <col min="11525" max="11526" width="9.140625" bestFit="1" customWidth="1"/>
    <col min="11527" max="11529" width="7.85546875" bestFit="1" customWidth="1"/>
    <col min="11530" max="11530" width="26.7109375" customWidth="1"/>
    <col min="11531" max="11531" width="17" customWidth="1"/>
    <col min="11777" max="11777" width="7.28515625" customWidth="1"/>
    <col min="11778" max="11778" width="17.140625" customWidth="1"/>
    <col min="11779" max="11779" width="8.7109375" customWidth="1"/>
    <col min="11780" max="11780" width="8.85546875" customWidth="1"/>
    <col min="11781" max="11782" width="9.140625" bestFit="1" customWidth="1"/>
    <col min="11783" max="11785" width="7.85546875" bestFit="1" customWidth="1"/>
    <col min="11786" max="11786" width="26.7109375" customWidth="1"/>
    <col min="11787" max="11787" width="17" customWidth="1"/>
    <col min="12033" max="12033" width="7.28515625" customWidth="1"/>
    <col min="12034" max="12034" width="17.140625" customWidth="1"/>
    <col min="12035" max="12035" width="8.7109375" customWidth="1"/>
    <col min="12036" max="12036" width="8.85546875" customWidth="1"/>
    <col min="12037" max="12038" width="9.140625" bestFit="1" customWidth="1"/>
    <col min="12039" max="12041" width="7.85546875" bestFit="1" customWidth="1"/>
    <col min="12042" max="12042" width="26.7109375" customWidth="1"/>
    <col min="12043" max="12043" width="17" customWidth="1"/>
    <col min="12289" max="12289" width="7.28515625" customWidth="1"/>
    <col min="12290" max="12290" width="17.140625" customWidth="1"/>
    <col min="12291" max="12291" width="8.7109375" customWidth="1"/>
    <col min="12292" max="12292" width="8.85546875" customWidth="1"/>
    <col min="12293" max="12294" width="9.140625" bestFit="1" customWidth="1"/>
    <col min="12295" max="12297" width="7.85546875" bestFit="1" customWidth="1"/>
    <col min="12298" max="12298" width="26.7109375" customWidth="1"/>
    <col min="12299" max="12299" width="17" customWidth="1"/>
    <col min="12545" max="12545" width="7.28515625" customWidth="1"/>
    <col min="12546" max="12546" width="17.140625" customWidth="1"/>
    <col min="12547" max="12547" width="8.7109375" customWidth="1"/>
    <col min="12548" max="12548" width="8.85546875" customWidth="1"/>
    <col min="12549" max="12550" width="9.140625" bestFit="1" customWidth="1"/>
    <col min="12551" max="12553" width="7.85546875" bestFit="1" customWidth="1"/>
    <col min="12554" max="12554" width="26.7109375" customWidth="1"/>
    <col min="12555" max="12555" width="17" customWidth="1"/>
    <col min="12801" max="12801" width="7.28515625" customWidth="1"/>
    <col min="12802" max="12802" width="17.140625" customWidth="1"/>
    <col min="12803" max="12803" width="8.7109375" customWidth="1"/>
    <col min="12804" max="12804" width="8.85546875" customWidth="1"/>
    <col min="12805" max="12806" width="9.140625" bestFit="1" customWidth="1"/>
    <col min="12807" max="12809" width="7.85546875" bestFit="1" customWidth="1"/>
    <col min="12810" max="12810" width="26.7109375" customWidth="1"/>
    <col min="12811" max="12811" width="17" customWidth="1"/>
    <col min="13057" max="13057" width="7.28515625" customWidth="1"/>
    <col min="13058" max="13058" width="17.140625" customWidth="1"/>
    <col min="13059" max="13059" width="8.7109375" customWidth="1"/>
    <col min="13060" max="13060" width="8.85546875" customWidth="1"/>
    <col min="13061" max="13062" width="9.140625" bestFit="1" customWidth="1"/>
    <col min="13063" max="13065" width="7.85546875" bestFit="1" customWidth="1"/>
    <col min="13066" max="13066" width="26.7109375" customWidth="1"/>
    <col min="13067" max="13067" width="17" customWidth="1"/>
    <col min="13313" max="13313" width="7.28515625" customWidth="1"/>
    <col min="13314" max="13314" width="17.140625" customWidth="1"/>
    <col min="13315" max="13315" width="8.7109375" customWidth="1"/>
    <col min="13316" max="13316" width="8.85546875" customWidth="1"/>
    <col min="13317" max="13318" width="9.140625" bestFit="1" customWidth="1"/>
    <col min="13319" max="13321" width="7.85546875" bestFit="1" customWidth="1"/>
    <col min="13322" max="13322" width="26.7109375" customWidth="1"/>
    <col min="13323" max="13323" width="17" customWidth="1"/>
    <col min="13569" max="13569" width="7.28515625" customWidth="1"/>
    <col min="13570" max="13570" width="17.140625" customWidth="1"/>
    <col min="13571" max="13571" width="8.7109375" customWidth="1"/>
    <col min="13572" max="13572" width="8.85546875" customWidth="1"/>
    <col min="13573" max="13574" width="9.140625" bestFit="1" customWidth="1"/>
    <col min="13575" max="13577" width="7.85546875" bestFit="1" customWidth="1"/>
    <col min="13578" max="13578" width="26.7109375" customWidth="1"/>
    <col min="13579" max="13579" width="17" customWidth="1"/>
    <col min="13825" max="13825" width="7.28515625" customWidth="1"/>
    <col min="13826" max="13826" width="17.140625" customWidth="1"/>
    <col min="13827" max="13827" width="8.7109375" customWidth="1"/>
    <col min="13828" max="13828" width="8.85546875" customWidth="1"/>
    <col min="13829" max="13830" width="9.140625" bestFit="1" customWidth="1"/>
    <col min="13831" max="13833" width="7.85546875" bestFit="1" customWidth="1"/>
    <col min="13834" max="13834" width="26.7109375" customWidth="1"/>
    <col min="13835" max="13835" width="17" customWidth="1"/>
    <col min="14081" max="14081" width="7.28515625" customWidth="1"/>
    <col min="14082" max="14082" width="17.140625" customWidth="1"/>
    <col min="14083" max="14083" width="8.7109375" customWidth="1"/>
    <col min="14084" max="14084" width="8.85546875" customWidth="1"/>
    <col min="14085" max="14086" width="9.140625" bestFit="1" customWidth="1"/>
    <col min="14087" max="14089" width="7.85546875" bestFit="1" customWidth="1"/>
    <col min="14090" max="14090" width="26.7109375" customWidth="1"/>
    <col min="14091" max="14091" width="17" customWidth="1"/>
    <col min="14337" max="14337" width="7.28515625" customWidth="1"/>
    <col min="14338" max="14338" width="17.140625" customWidth="1"/>
    <col min="14339" max="14339" width="8.7109375" customWidth="1"/>
    <col min="14340" max="14340" width="8.85546875" customWidth="1"/>
    <col min="14341" max="14342" width="9.140625" bestFit="1" customWidth="1"/>
    <col min="14343" max="14345" width="7.85546875" bestFit="1" customWidth="1"/>
    <col min="14346" max="14346" width="26.7109375" customWidth="1"/>
    <col min="14347" max="14347" width="17" customWidth="1"/>
    <col min="14593" max="14593" width="7.28515625" customWidth="1"/>
    <col min="14594" max="14594" width="17.140625" customWidth="1"/>
    <col min="14595" max="14595" width="8.7109375" customWidth="1"/>
    <col min="14596" max="14596" width="8.85546875" customWidth="1"/>
    <col min="14597" max="14598" width="9.140625" bestFit="1" customWidth="1"/>
    <col min="14599" max="14601" width="7.85546875" bestFit="1" customWidth="1"/>
    <col min="14602" max="14602" width="26.7109375" customWidth="1"/>
    <col min="14603" max="14603" width="17" customWidth="1"/>
    <col min="14849" max="14849" width="7.28515625" customWidth="1"/>
    <col min="14850" max="14850" width="17.140625" customWidth="1"/>
    <col min="14851" max="14851" width="8.7109375" customWidth="1"/>
    <col min="14852" max="14852" width="8.85546875" customWidth="1"/>
    <col min="14853" max="14854" width="9.140625" bestFit="1" customWidth="1"/>
    <col min="14855" max="14857" width="7.85546875" bestFit="1" customWidth="1"/>
    <col min="14858" max="14858" width="26.7109375" customWidth="1"/>
    <col min="14859" max="14859" width="17" customWidth="1"/>
    <col min="15105" max="15105" width="7.28515625" customWidth="1"/>
    <col min="15106" max="15106" width="17.140625" customWidth="1"/>
    <col min="15107" max="15107" width="8.7109375" customWidth="1"/>
    <col min="15108" max="15108" width="8.85546875" customWidth="1"/>
    <col min="15109" max="15110" width="9.140625" bestFit="1" customWidth="1"/>
    <col min="15111" max="15113" width="7.85546875" bestFit="1" customWidth="1"/>
    <col min="15114" max="15114" width="26.7109375" customWidth="1"/>
    <col min="15115" max="15115" width="17" customWidth="1"/>
    <col min="15361" max="15361" width="7.28515625" customWidth="1"/>
    <col min="15362" max="15362" width="17.140625" customWidth="1"/>
    <col min="15363" max="15363" width="8.7109375" customWidth="1"/>
    <col min="15364" max="15364" width="8.85546875" customWidth="1"/>
    <col min="15365" max="15366" width="9.140625" bestFit="1" customWidth="1"/>
    <col min="15367" max="15369" width="7.85546875" bestFit="1" customWidth="1"/>
    <col min="15370" max="15370" width="26.7109375" customWidth="1"/>
    <col min="15371" max="15371" width="17" customWidth="1"/>
    <col min="15617" max="15617" width="7.28515625" customWidth="1"/>
    <col min="15618" max="15618" width="17.140625" customWidth="1"/>
    <col min="15619" max="15619" width="8.7109375" customWidth="1"/>
    <col min="15620" max="15620" width="8.85546875" customWidth="1"/>
    <col min="15621" max="15622" width="9.140625" bestFit="1" customWidth="1"/>
    <col min="15623" max="15625" width="7.85546875" bestFit="1" customWidth="1"/>
    <col min="15626" max="15626" width="26.7109375" customWidth="1"/>
    <col min="15627" max="15627" width="17" customWidth="1"/>
    <col min="15873" max="15873" width="7.28515625" customWidth="1"/>
    <col min="15874" max="15874" width="17.140625" customWidth="1"/>
    <col min="15875" max="15875" width="8.7109375" customWidth="1"/>
    <col min="15876" max="15876" width="8.85546875" customWidth="1"/>
    <col min="15877" max="15878" width="9.140625" bestFit="1" customWidth="1"/>
    <col min="15879" max="15881" width="7.85546875" bestFit="1" customWidth="1"/>
    <col min="15882" max="15882" width="26.7109375" customWidth="1"/>
    <col min="15883" max="15883" width="17" customWidth="1"/>
    <col min="16129" max="16129" width="7.28515625" customWidth="1"/>
    <col min="16130" max="16130" width="17.140625" customWidth="1"/>
    <col min="16131" max="16131" width="8.7109375" customWidth="1"/>
    <col min="16132" max="16132" width="8.85546875" customWidth="1"/>
    <col min="16133" max="16134" width="9.140625" bestFit="1" customWidth="1"/>
    <col min="16135" max="16137" width="7.85546875" bestFit="1" customWidth="1"/>
    <col min="16138" max="16138" width="26.7109375" customWidth="1"/>
    <col min="16139" max="16139" width="17" customWidth="1"/>
  </cols>
  <sheetData>
    <row r="1" spans="1:11" ht="15.75" customHeight="1">
      <c r="A1" s="771" t="s">
        <v>0</v>
      </c>
      <c r="B1" s="772"/>
      <c r="C1" s="772"/>
      <c r="D1" s="772"/>
      <c r="E1" s="772"/>
      <c r="F1" s="772"/>
      <c r="G1" s="772"/>
      <c r="H1" s="772"/>
      <c r="I1" s="772"/>
      <c r="J1" s="772"/>
      <c r="K1" s="773"/>
    </row>
    <row r="2" spans="1:11">
      <c r="A2" s="774"/>
      <c r="B2" s="775"/>
      <c r="C2" s="775"/>
      <c r="D2" s="775"/>
      <c r="E2" s="775"/>
      <c r="F2" s="775"/>
      <c r="G2" s="775"/>
      <c r="H2" s="775"/>
      <c r="I2" s="775"/>
      <c r="J2" s="775"/>
      <c r="K2" s="776"/>
    </row>
    <row r="3" spans="1:11" ht="15" customHeight="1">
      <c r="A3" s="777" t="s">
        <v>1</v>
      </c>
      <c r="B3" s="779" t="s">
        <v>2</v>
      </c>
      <c r="C3" s="780" t="s">
        <v>3</v>
      </c>
      <c r="D3" s="780" t="s">
        <v>4</v>
      </c>
      <c r="E3" s="780"/>
      <c r="F3" s="780"/>
      <c r="G3" s="780"/>
      <c r="H3" s="780"/>
      <c r="I3" s="780"/>
      <c r="J3" s="782" t="s">
        <v>5</v>
      </c>
      <c r="K3" s="779" t="s">
        <v>6</v>
      </c>
    </row>
    <row r="4" spans="1:11" ht="36.75" customHeight="1">
      <c r="A4" s="778"/>
      <c r="B4" s="769"/>
      <c r="C4" s="781"/>
      <c r="D4" s="56" t="s">
        <v>7</v>
      </c>
      <c r="E4" s="47" t="s">
        <v>8</v>
      </c>
      <c r="F4" s="46" t="s">
        <v>9</v>
      </c>
      <c r="G4" s="47" t="s">
        <v>10</v>
      </c>
      <c r="H4" s="47" t="s">
        <v>11</v>
      </c>
      <c r="I4" s="47" t="s">
        <v>12</v>
      </c>
      <c r="J4" s="768"/>
      <c r="K4" s="769"/>
    </row>
    <row r="5" spans="1:11" ht="15" customHeight="1">
      <c r="A5" s="766"/>
      <c r="B5" s="769" t="s">
        <v>13</v>
      </c>
      <c r="C5" s="767" t="s">
        <v>14</v>
      </c>
      <c r="D5" s="57" t="s">
        <v>8</v>
      </c>
      <c r="E5" s="49">
        <f t="shared" ref="E5:E20" si="0">SUM(F5:I5)</f>
        <v>4817851.25</v>
      </c>
      <c r="F5" s="49">
        <f>SUM(F6:F10)</f>
        <v>4115882.15</v>
      </c>
      <c r="G5" s="49">
        <f>SUM(G6:G10)</f>
        <v>317597.90000000002</v>
      </c>
      <c r="H5" s="49">
        <f>SUM(H6:H10)</f>
        <v>320271.2</v>
      </c>
      <c r="I5" s="49">
        <f>SUM(I6:I10)</f>
        <v>64100</v>
      </c>
      <c r="J5" s="768"/>
      <c r="K5" s="769" t="s">
        <v>15</v>
      </c>
    </row>
    <row r="6" spans="1:11">
      <c r="A6" s="766"/>
      <c r="B6" s="769"/>
      <c r="C6" s="767"/>
      <c r="D6" s="57">
        <v>2016</v>
      </c>
      <c r="E6" s="49">
        <f t="shared" si="0"/>
        <v>596162.69999999995</v>
      </c>
      <c r="F6" s="49">
        <f t="shared" ref="F6:I10" si="1">SUM(F12,F84,F216,F426)</f>
        <v>528911.6</v>
      </c>
      <c r="G6" s="49">
        <f t="shared" si="1"/>
        <v>25501.9</v>
      </c>
      <c r="H6" s="49">
        <f t="shared" si="1"/>
        <v>20949.2</v>
      </c>
      <c r="I6" s="49">
        <f t="shared" si="1"/>
        <v>20800</v>
      </c>
      <c r="J6" s="768"/>
      <c r="K6" s="769"/>
    </row>
    <row r="7" spans="1:11">
      <c r="A7" s="766"/>
      <c r="B7" s="769"/>
      <c r="C7" s="767"/>
      <c r="D7" s="57">
        <v>2017</v>
      </c>
      <c r="E7" s="49">
        <f t="shared" si="0"/>
        <v>741436.5</v>
      </c>
      <c r="F7" s="49">
        <f t="shared" si="1"/>
        <v>622094.69999999995</v>
      </c>
      <c r="G7" s="49">
        <f t="shared" si="1"/>
        <v>37021</v>
      </c>
      <c r="H7" s="49">
        <f t="shared" si="1"/>
        <v>67320.800000000003</v>
      </c>
      <c r="I7" s="49">
        <f t="shared" si="1"/>
        <v>15000</v>
      </c>
      <c r="J7" s="768"/>
      <c r="K7" s="769"/>
    </row>
    <row r="8" spans="1:11">
      <c r="A8" s="766"/>
      <c r="B8" s="769"/>
      <c r="C8" s="767"/>
      <c r="D8" s="57">
        <v>2018</v>
      </c>
      <c r="E8" s="49">
        <f>SUM(F8:I8)</f>
        <v>1097676.6499999999</v>
      </c>
      <c r="F8" s="49">
        <f t="shared" si="1"/>
        <v>1011644.85</v>
      </c>
      <c r="G8" s="49">
        <f t="shared" si="1"/>
        <v>32132.199999999997</v>
      </c>
      <c r="H8" s="49">
        <f t="shared" si="1"/>
        <v>53899.6</v>
      </c>
      <c r="I8" s="49">
        <f t="shared" si="1"/>
        <v>0</v>
      </c>
      <c r="J8" s="768"/>
      <c r="K8" s="769"/>
    </row>
    <row r="9" spans="1:11">
      <c r="A9" s="766"/>
      <c r="B9" s="769"/>
      <c r="C9" s="767"/>
      <c r="D9" s="57">
        <v>2019</v>
      </c>
      <c r="E9" s="49">
        <f>SUM(F9:I9)</f>
        <v>1383260.5</v>
      </c>
      <c r="F9" s="49">
        <f t="shared" si="1"/>
        <v>1128676.5</v>
      </c>
      <c r="G9" s="49">
        <f t="shared" si="1"/>
        <v>111471.4</v>
      </c>
      <c r="H9" s="49">
        <f t="shared" si="1"/>
        <v>114812.6</v>
      </c>
      <c r="I9" s="49">
        <f t="shared" si="1"/>
        <v>28300</v>
      </c>
      <c r="J9" s="768"/>
      <c r="K9" s="769"/>
    </row>
    <row r="10" spans="1:11">
      <c r="A10" s="766"/>
      <c r="B10" s="769"/>
      <c r="C10" s="767"/>
      <c r="D10" s="57">
        <v>2020</v>
      </c>
      <c r="E10" s="49">
        <f>SUM(F10:I10)</f>
        <v>999314.9</v>
      </c>
      <c r="F10" s="49">
        <f t="shared" si="1"/>
        <v>824554.5</v>
      </c>
      <c r="G10" s="49">
        <f t="shared" si="1"/>
        <v>111471.4</v>
      </c>
      <c r="H10" s="49">
        <f t="shared" si="1"/>
        <v>63289</v>
      </c>
      <c r="I10" s="49">
        <f t="shared" si="1"/>
        <v>0</v>
      </c>
      <c r="J10" s="768"/>
      <c r="K10" s="769"/>
    </row>
    <row r="11" spans="1:11" ht="15" customHeight="1">
      <c r="A11" s="766" t="s">
        <v>16</v>
      </c>
      <c r="B11" s="769" t="s">
        <v>17</v>
      </c>
      <c r="C11" s="767" t="s">
        <v>14</v>
      </c>
      <c r="D11" s="57" t="s">
        <v>8</v>
      </c>
      <c r="E11" s="49">
        <f t="shared" si="0"/>
        <v>232739.20000000001</v>
      </c>
      <c r="F11" s="49">
        <f>SUM(F12:F16)</f>
        <v>190283.4</v>
      </c>
      <c r="G11" s="49">
        <f>SUM(G12:G16)</f>
        <v>42455.8</v>
      </c>
      <c r="H11" s="49">
        <f>SUM(H12:H16)</f>
        <v>0</v>
      </c>
      <c r="I11" s="49">
        <f>SUM(I12:I16)</f>
        <v>0</v>
      </c>
      <c r="J11" s="768"/>
      <c r="K11" s="769" t="s">
        <v>18</v>
      </c>
    </row>
    <row r="12" spans="1:11">
      <c r="A12" s="766"/>
      <c r="B12" s="769"/>
      <c r="C12" s="767"/>
      <c r="D12" s="57">
        <v>2016</v>
      </c>
      <c r="E12" s="49">
        <f t="shared" si="0"/>
        <v>20057.099999999999</v>
      </c>
      <c r="F12" s="49">
        <f t="shared" ref="F12:I16" si="2">F18+F60</f>
        <v>12120.599999999999</v>
      </c>
      <c r="G12" s="49">
        <f t="shared" si="2"/>
        <v>7936.5</v>
      </c>
      <c r="H12" s="49">
        <f t="shared" si="2"/>
        <v>0</v>
      </c>
      <c r="I12" s="49">
        <f t="shared" si="2"/>
        <v>0</v>
      </c>
      <c r="J12" s="768"/>
      <c r="K12" s="769"/>
    </row>
    <row r="13" spans="1:11">
      <c r="A13" s="766"/>
      <c r="B13" s="769"/>
      <c r="C13" s="767"/>
      <c r="D13" s="57">
        <v>2017</v>
      </c>
      <c r="E13" s="49">
        <f>SUM(F13:I13)</f>
        <v>29900.6</v>
      </c>
      <c r="F13" s="49">
        <f t="shared" si="2"/>
        <v>12200.599999999999</v>
      </c>
      <c r="G13" s="49">
        <f t="shared" si="2"/>
        <v>17700</v>
      </c>
      <c r="H13" s="49">
        <f t="shared" si="2"/>
        <v>0</v>
      </c>
      <c r="I13" s="49">
        <f t="shared" si="2"/>
        <v>0</v>
      </c>
      <c r="J13" s="768"/>
      <c r="K13" s="769"/>
    </row>
    <row r="14" spans="1:11">
      <c r="A14" s="766"/>
      <c r="B14" s="769"/>
      <c r="C14" s="767"/>
      <c r="D14" s="57">
        <v>2018</v>
      </c>
      <c r="E14" s="49">
        <f t="shared" si="0"/>
        <v>79841.8</v>
      </c>
      <c r="F14" s="49">
        <f t="shared" si="2"/>
        <v>63022.5</v>
      </c>
      <c r="G14" s="49">
        <f t="shared" si="2"/>
        <v>16819.3</v>
      </c>
      <c r="H14" s="49">
        <f t="shared" si="2"/>
        <v>0</v>
      </c>
      <c r="I14" s="49">
        <f t="shared" si="2"/>
        <v>0</v>
      </c>
      <c r="J14" s="768"/>
      <c r="K14" s="769"/>
    </row>
    <row r="15" spans="1:11">
      <c r="A15" s="766"/>
      <c r="B15" s="769"/>
      <c r="C15" s="767"/>
      <c r="D15" s="57">
        <v>2019</v>
      </c>
      <c r="E15" s="49">
        <f>SUM(F15:I15)</f>
        <v>51190.8</v>
      </c>
      <c r="F15" s="49">
        <f t="shared" si="2"/>
        <v>51190.8</v>
      </c>
      <c r="G15" s="49">
        <f t="shared" si="2"/>
        <v>0</v>
      </c>
      <c r="H15" s="49">
        <f t="shared" si="2"/>
        <v>0</v>
      </c>
      <c r="I15" s="49">
        <f t="shared" si="2"/>
        <v>0</v>
      </c>
      <c r="J15" s="768"/>
      <c r="K15" s="769"/>
    </row>
    <row r="16" spans="1:11">
      <c r="A16" s="766"/>
      <c r="B16" s="769"/>
      <c r="C16" s="767"/>
      <c r="D16" s="57">
        <v>2020</v>
      </c>
      <c r="E16" s="49">
        <f>SUM(F16:I16)</f>
        <v>51748.9</v>
      </c>
      <c r="F16" s="49">
        <f t="shared" si="2"/>
        <v>51748.9</v>
      </c>
      <c r="G16" s="49">
        <f t="shared" si="2"/>
        <v>0</v>
      </c>
      <c r="H16" s="49">
        <f t="shared" si="2"/>
        <v>0</v>
      </c>
      <c r="I16" s="49">
        <f t="shared" si="2"/>
        <v>0</v>
      </c>
      <c r="J16" s="768"/>
      <c r="K16" s="769"/>
    </row>
    <row r="17" spans="1:11" ht="15" customHeight="1">
      <c r="A17" s="766" t="s">
        <v>173</v>
      </c>
      <c r="B17" s="770" t="s">
        <v>20</v>
      </c>
      <c r="C17" s="767" t="s">
        <v>14</v>
      </c>
      <c r="D17" s="57" t="s">
        <v>8</v>
      </c>
      <c r="E17" s="49">
        <f t="shared" si="0"/>
        <v>191438.59999999998</v>
      </c>
      <c r="F17" s="49">
        <f>SUM(F18:F22)</f>
        <v>149942.29999999999</v>
      </c>
      <c r="G17" s="49">
        <f>SUM(G18:G22)</f>
        <v>41496.300000000003</v>
      </c>
      <c r="H17" s="49">
        <f>SUM(H18:H22)</f>
        <v>0</v>
      </c>
      <c r="I17" s="49">
        <f>SUM(I18:I22)</f>
        <v>0</v>
      </c>
      <c r="J17" s="768" t="s">
        <v>21</v>
      </c>
      <c r="K17" s="769" t="s">
        <v>18</v>
      </c>
    </row>
    <row r="18" spans="1:11">
      <c r="A18" s="766"/>
      <c r="B18" s="770"/>
      <c r="C18" s="767"/>
      <c r="D18" s="57">
        <v>2016</v>
      </c>
      <c r="E18" s="49">
        <f t="shared" si="0"/>
        <v>15841.4</v>
      </c>
      <c r="F18" s="49">
        <f t="shared" ref="F18:I22" si="3">SUM(F24,F30,F36,F42,F48,F54)</f>
        <v>8864.4</v>
      </c>
      <c r="G18" s="49">
        <f t="shared" si="3"/>
        <v>6977</v>
      </c>
      <c r="H18" s="49">
        <f t="shared" si="3"/>
        <v>0</v>
      </c>
      <c r="I18" s="49">
        <f t="shared" si="3"/>
        <v>0</v>
      </c>
      <c r="J18" s="768"/>
      <c r="K18" s="769"/>
    </row>
    <row r="19" spans="1:11">
      <c r="A19" s="766"/>
      <c r="B19" s="770"/>
      <c r="C19" s="767"/>
      <c r="D19" s="57">
        <v>2017</v>
      </c>
      <c r="E19" s="49">
        <f>SUM(F19:I19)</f>
        <v>27734.400000000001</v>
      </c>
      <c r="F19" s="49">
        <f t="shared" si="3"/>
        <v>10034.4</v>
      </c>
      <c r="G19" s="49">
        <f t="shared" si="3"/>
        <v>17700</v>
      </c>
      <c r="H19" s="49">
        <f t="shared" si="3"/>
        <v>0</v>
      </c>
      <c r="I19" s="49">
        <f t="shared" si="3"/>
        <v>0</v>
      </c>
      <c r="J19" s="768"/>
      <c r="K19" s="769"/>
    </row>
    <row r="20" spans="1:11" ht="16.5" customHeight="1">
      <c r="A20" s="766"/>
      <c r="B20" s="770"/>
      <c r="C20" s="767"/>
      <c r="D20" s="57">
        <v>2018</v>
      </c>
      <c r="E20" s="49">
        <f t="shared" si="0"/>
        <v>68523.399999999994</v>
      </c>
      <c r="F20" s="49">
        <f t="shared" si="3"/>
        <v>51704.1</v>
      </c>
      <c r="G20" s="49">
        <f t="shared" si="3"/>
        <v>16819.3</v>
      </c>
      <c r="H20" s="49">
        <f t="shared" si="3"/>
        <v>0</v>
      </c>
      <c r="I20" s="49">
        <f t="shared" si="3"/>
        <v>0</v>
      </c>
      <c r="J20" s="768"/>
      <c r="K20" s="769"/>
    </row>
    <row r="21" spans="1:11" ht="16.5" customHeight="1">
      <c r="A21" s="766"/>
      <c r="B21" s="770"/>
      <c r="C21" s="767"/>
      <c r="D21" s="57">
        <v>2019</v>
      </c>
      <c r="E21" s="49">
        <f>SUM(F21:I21)</f>
        <v>39555.1</v>
      </c>
      <c r="F21" s="49">
        <f t="shared" si="3"/>
        <v>39555.1</v>
      </c>
      <c r="G21" s="49">
        <f t="shared" si="3"/>
        <v>0</v>
      </c>
      <c r="H21" s="49">
        <f t="shared" si="3"/>
        <v>0</v>
      </c>
      <c r="I21" s="49">
        <f t="shared" si="3"/>
        <v>0</v>
      </c>
      <c r="J21" s="768"/>
      <c r="K21" s="769"/>
    </row>
    <row r="22" spans="1:11" ht="16.5" customHeight="1">
      <c r="A22" s="766"/>
      <c r="B22" s="770"/>
      <c r="C22" s="767"/>
      <c r="D22" s="57">
        <v>2020</v>
      </c>
      <c r="E22" s="49">
        <f>SUM(F22:I22)</f>
        <v>39784.300000000003</v>
      </c>
      <c r="F22" s="49">
        <f t="shared" si="3"/>
        <v>39784.300000000003</v>
      </c>
      <c r="G22" s="49">
        <f t="shared" si="3"/>
        <v>0</v>
      </c>
      <c r="H22" s="49">
        <f t="shared" si="3"/>
        <v>0</v>
      </c>
      <c r="I22" s="49">
        <f t="shared" si="3"/>
        <v>0</v>
      </c>
      <c r="J22" s="768"/>
      <c r="K22" s="769"/>
    </row>
    <row r="23" spans="1:11" s="2" customFormat="1" ht="16.5" customHeight="1">
      <c r="A23" s="753" t="s">
        <v>19</v>
      </c>
      <c r="B23" s="754" t="s">
        <v>22</v>
      </c>
      <c r="C23" s="755" t="s">
        <v>14</v>
      </c>
      <c r="D23" s="55" t="s">
        <v>8</v>
      </c>
      <c r="E23" s="8">
        <f t="shared" ref="E23:E32" si="4">SUM(F23:I23)</f>
        <v>43124.3</v>
      </c>
      <c r="F23" s="8">
        <f>SUM(F24:F28)</f>
        <v>43124.3</v>
      </c>
      <c r="G23" s="8">
        <f>SUM(G24:G28)</f>
        <v>0</v>
      </c>
      <c r="H23" s="8">
        <f>SUM(H24:H28)</f>
        <v>0</v>
      </c>
      <c r="I23" s="8">
        <f>SUM(I24:I28)</f>
        <v>0</v>
      </c>
      <c r="J23" s="756" t="s">
        <v>180</v>
      </c>
      <c r="K23" s="757" t="s">
        <v>23</v>
      </c>
    </row>
    <row r="24" spans="1:11" s="2" customFormat="1">
      <c r="A24" s="753"/>
      <c r="B24" s="754"/>
      <c r="C24" s="755"/>
      <c r="D24" s="55">
        <v>2016</v>
      </c>
      <c r="E24" s="8">
        <f t="shared" si="4"/>
        <v>4096.3999999999996</v>
      </c>
      <c r="F24" s="8">
        <v>4096.3999999999996</v>
      </c>
      <c r="G24" s="9">
        <v>0</v>
      </c>
      <c r="H24" s="9">
        <v>0</v>
      </c>
      <c r="I24" s="9">
        <v>0</v>
      </c>
      <c r="J24" s="756"/>
      <c r="K24" s="757"/>
    </row>
    <row r="25" spans="1:11" s="2" customFormat="1">
      <c r="A25" s="753"/>
      <c r="B25" s="754"/>
      <c r="C25" s="755"/>
      <c r="D25" s="55">
        <v>2017</v>
      </c>
      <c r="E25" s="8">
        <f>SUM(F25:I25)</f>
        <v>5186.3999999999996</v>
      </c>
      <c r="F25" s="8">
        <v>5186.3999999999996</v>
      </c>
      <c r="G25" s="9">
        <v>0</v>
      </c>
      <c r="H25" s="9">
        <v>0</v>
      </c>
      <c r="I25" s="9">
        <v>0</v>
      </c>
      <c r="J25" s="756"/>
      <c r="K25" s="757"/>
    </row>
    <row r="26" spans="1:11" s="2" customFormat="1">
      <c r="A26" s="753"/>
      <c r="B26" s="754"/>
      <c r="C26" s="755"/>
      <c r="D26" s="55">
        <v>2018</v>
      </c>
      <c r="E26" s="8">
        <f t="shared" si="4"/>
        <v>11216.3</v>
      </c>
      <c r="F26" s="8">
        <v>11216.3</v>
      </c>
      <c r="G26" s="9">
        <v>0</v>
      </c>
      <c r="H26" s="9">
        <v>0</v>
      </c>
      <c r="I26" s="9">
        <v>0</v>
      </c>
      <c r="J26" s="756"/>
      <c r="K26" s="757"/>
    </row>
    <row r="27" spans="1:11" s="2" customFormat="1">
      <c r="A27" s="753"/>
      <c r="B27" s="754"/>
      <c r="C27" s="755"/>
      <c r="D27" s="55">
        <v>2019</v>
      </c>
      <c r="E27" s="8">
        <f>SUM(F27:I27)</f>
        <v>11198</v>
      </c>
      <c r="F27" s="8">
        <v>11198</v>
      </c>
      <c r="G27" s="9">
        <v>0</v>
      </c>
      <c r="H27" s="9">
        <v>0</v>
      </c>
      <c r="I27" s="9">
        <v>0</v>
      </c>
      <c r="J27" s="756"/>
      <c r="K27" s="757"/>
    </row>
    <row r="28" spans="1:11" s="2" customFormat="1">
      <c r="A28" s="753"/>
      <c r="B28" s="754"/>
      <c r="C28" s="755"/>
      <c r="D28" s="55">
        <v>2020</v>
      </c>
      <c r="E28" s="8">
        <f>SUM(F28:I28)</f>
        <v>11427.2</v>
      </c>
      <c r="F28" s="8">
        <v>11427.2</v>
      </c>
      <c r="G28" s="9">
        <v>0</v>
      </c>
      <c r="H28" s="9">
        <v>0</v>
      </c>
      <c r="I28" s="9">
        <v>0</v>
      </c>
      <c r="J28" s="756"/>
      <c r="K28" s="757"/>
    </row>
    <row r="29" spans="1:11" s="2" customFormat="1" ht="15" customHeight="1">
      <c r="A29" s="766" t="s">
        <v>181</v>
      </c>
      <c r="B29" s="754" t="s">
        <v>275</v>
      </c>
      <c r="C29" s="767" t="s">
        <v>14</v>
      </c>
      <c r="D29" s="57" t="s">
        <v>8</v>
      </c>
      <c r="E29" s="49">
        <f t="shared" si="4"/>
        <v>9090</v>
      </c>
      <c r="F29" s="49">
        <f>SUM(F30:F34)</f>
        <v>9090</v>
      </c>
      <c r="G29" s="49">
        <f>SUM(G30:G34)</f>
        <v>0</v>
      </c>
      <c r="H29" s="49">
        <f>SUM(H30:H34)</f>
        <v>0</v>
      </c>
      <c r="I29" s="49">
        <f>SUM(I30:I34)</f>
        <v>0</v>
      </c>
      <c r="J29" s="768" t="s">
        <v>25</v>
      </c>
      <c r="K29" s="769" t="s">
        <v>26</v>
      </c>
    </row>
    <row r="30" spans="1:11" s="2" customFormat="1">
      <c r="A30" s="766"/>
      <c r="B30" s="754"/>
      <c r="C30" s="767"/>
      <c r="D30" s="57">
        <v>2016</v>
      </c>
      <c r="E30" s="49">
        <f t="shared" si="4"/>
        <v>1818</v>
      </c>
      <c r="F30" s="49">
        <v>1818</v>
      </c>
      <c r="G30" s="50">
        <v>0</v>
      </c>
      <c r="H30" s="50">
        <v>0</v>
      </c>
      <c r="I30" s="50">
        <v>0</v>
      </c>
      <c r="J30" s="768"/>
      <c r="K30" s="769"/>
    </row>
    <row r="31" spans="1:11" s="2" customFormat="1">
      <c r="A31" s="766"/>
      <c r="B31" s="754"/>
      <c r="C31" s="767"/>
      <c r="D31" s="57">
        <v>2017</v>
      </c>
      <c r="E31" s="49">
        <f>SUM(F31:I31)</f>
        <v>1818</v>
      </c>
      <c r="F31" s="49">
        <v>1818</v>
      </c>
      <c r="G31" s="50">
        <v>0</v>
      </c>
      <c r="H31" s="50">
        <v>0</v>
      </c>
      <c r="I31" s="50">
        <v>0</v>
      </c>
      <c r="J31" s="768"/>
      <c r="K31" s="769"/>
    </row>
    <row r="32" spans="1:11" s="2" customFormat="1">
      <c r="A32" s="766"/>
      <c r="B32" s="754"/>
      <c r="C32" s="767"/>
      <c r="D32" s="57">
        <v>2018</v>
      </c>
      <c r="E32" s="49">
        <f t="shared" si="4"/>
        <v>1818</v>
      </c>
      <c r="F32" s="49">
        <v>1818</v>
      </c>
      <c r="G32" s="50">
        <v>0</v>
      </c>
      <c r="H32" s="50">
        <v>0</v>
      </c>
      <c r="I32" s="50">
        <v>0</v>
      </c>
      <c r="J32" s="768"/>
      <c r="K32" s="769"/>
    </row>
    <row r="33" spans="1:11" s="2" customFormat="1">
      <c r="A33" s="766"/>
      <c r="B33" s="754"/>
      <c r="C33" s="767"/>
      <c r="D33" s="57">
        <v>2019</v>
      </c>
      <c r="E33" s="49">
        <f t="shared" ref="E33:E68" si="5">SUM(F33:I33)</f>
        <v>1818</v>
      </c>
      <c r="F33" s="49">
        <v>1818</v>
      </c>
      <c r="G33" s="50">
        <v>0</v>
      </c>
      <c r="H33" s="50">
        <v>0</v>
      </c>
      <c r="I33" s="50">
        <v>0</v>
      </c>
      <c r="J33" s="768"/>
      <c r="K33" s="769"/>
    </row>
    <row r="34" spans="1:11" s="2" customFormat="1">
      <c r="A34" s="766"/>
      <c r="B34" s="754"/>
      <c r="C34" s="767"/>
      <c r="D34" s="57">
        <v>2020</v>
      </c>
      <c r="E34" s="49">
        <f t="shared" si="5"/>
        <v>1818</v>
      </c>
      <c r="F34" s="49">
        <v>1818</v>
      </c>
      <c r="G34" s="50">
        <v>0</v>
      </c>
      <c r="H34" s="50">
        <v>0</v>
      </c>
      <c r="I34" s="50">
        <v>0</v>
      </c>
      <c r="J34" s="768"/>
      <c r="K34" s="769"/>
    </row>
    <row r="35" spans="1:11" s="2" customFormat="1" ht="13.5" customHeight="1">
      <c r="A35" s="753" t="s">
        <v>183</v>
      </c>
      <c r="B35" s="754" t="s">
        <v>27</v>
      </c>
      <c r="C35" s="755" t="s">
        <v>152</v>
      </c>
      <c r="D35" s="55" t="s">
        <v>8</v>
      </c>
      <c r="E35" s="8">
        <f t="shared" ref="E35:E40" si="6">SUM(F35:I35)</f>
        <v>14250</v>
      </c>
      <c r="F35" s="8">
        <f>SUM(F36:F40)</f>
        <v>14250</v>
      </c>
      <c r="G35" s="8">
        <f>SUM(G36:G40)</f>
        <v>0</v>
      </c>
      <c r="H35" s="8">
        <f>SUM(H36:H40)</f>
        <v>0</v>
      </c>
      <c r="I35" s="8">
        <f>SUM(I36:I40)</f>
        <v>0</v>
      </c>
      <c r="J35" s="756" t="s">
        <v>276</v>
      </c>
      <c r="K35" s="757" t="s">
        <v>23</v>
      </c>
    </row>
    <row r="36" spans="1:11" s="2" customFormat="1" ht="13.5" customHeight="1">
      <c r="A36" s="753"/>
      <c r="B36" s="754"/>
      <c r="C36" s="755"/>
      <c r="D36" s="55">
        <v>2016</v>
      </c>
      <c r="E36" s="8">
        <f t="shared" si="6"/>
        <v>2850</v>
      </c>
      <c r="F36" s="8">
        <v>2850</v>
      </c>
      <c r="G36" s="9">
        <v>0</v>
      </c>
      <c r="H36" s="9">
        <v>0</v>
      </c>
      <c r="I36" s="9">
        <v>0</v>
      </c>
      <c r="J36" s="756"/>
      <c r="K36" s="757"/>
    </row>
    <row r="37" spans="1:11" s="2" customFormat="1" ht="13.5" customHeight="1">
      <c r="A37" s="753"/>
      <c r="B37" s="754"/>
      <c r="C37" s="755"/>
      <c r="D37" s="55">
        <v>2017</v>
      </c>
      <c r="E37" s="8">
        <f t="shared" si="6"/>
        <v>2850</v>
      </c>
      <c r="F37" s="8">
        <v>2850</v>
      </c>
      <c r="G37" s="9">
        <v>0</v>
      </c>
      <c r="H37" s="9">
        <v>0</v>
      </c>
      <c r="I37" s="9">
        <v>0</v>
      </c>
      <c r="J37" s="756"/>
      <c r="K37" s="757"/>
    </row>
    <row r="38" spans="1:11" s="2" customFormat="1" ht="13.5" customHeight="1">
      <c r="A38" s="753"/>
      <c r="B38" s="754"/>
      <c r="C38" s="755"/>
      <c r="D38" s="55">
        <v>2018</v>
      </c>
      <c r="E38" s="8">
        <f t="shared" si="6"/>
        <v>2850</v>
      </c>
      <c r="F38" s="8">
        <v>2850</v>
      </c>
      <c r="G38" s="9">
        <v>0</v>
      </c>
      <c r="H38" s="9">
        <v>0</v>
      </c>
      <c r="I38" s="9">
        <v>0</v>
      </c>
      <c r="J38" s="756"/>
      <c r="K38" s="757"/>
    </row>
    <row r="39" spans="1:11" s="2" customFormat="1" ht="13.5" customHeight="1">
      <c r="A39" s="753"/>
      <c r="B39" s="754"/>
      <c r="C39" s="755"/>
      <c r="D39" s="55">
        <v>2019</v>
      </c>
      <c r="E39" s="8">
        <f t="shared" si="6"/>
        <v>2850</v>
      </c>
      <c r="F39" s="8">
        <v>2850</v>
      </c>
      <c r="G39" s="9">
        <v>0</v>
      </c>
      <c r="H39" s="9">
        <v>0</v>
      </c>
      <c r="I39" s="9">
        <v>0</v>
      </c>
      <c r="J39" s="756"/>
      <c r="K39" s="757"/>
    </row>
    <row r="40" spans="1:11" s="2" customFormat="1" ht="13.5" customHeight="1">
      <c r="A40" s="753"/>
      <c r="B40" s="754"/>
      <c r="C40" s="755"/>
      <c r="D40" s="55">
        <v>2020</v>
      </c>
      <c r="E40" s="8">
        <f t="shared" si="6"/>
        <v>2850</v>
      </c>
      <c r="F40" s="8">
        <v>2850</v>
      </c>
      <c r="G40" s="9">
        <v>0</v>
      </c>
      <c r="H40" s="9">
        <v>0</v>
      </c>
      <c r="I40" s="9">
        <v>0</v>
      </c>
      <c r="J40" s="756"/>
      <c r="K40" s="757"/>
    </row>
    <row r="41" spans="1:11" s="2" customFormat="1" ht="15.75" customHeight="1">
      <c r="A41" s="753" t="s">
        <v>184</v>
      </c>
      <c r="B41" s="754" t="s">
        <v>29</v>
      </c>
      <c r="C41" s="755" t="s">
        <v>152</v>
      </c>
      <c r="D41" s="57" t="s">
        <v>8</v>
      </c>
      <c r="E41" s="8">
        <f t="shared" si="5"/>
        <v>63591.899999999994</v>
      </c>
      <c r="F41" s="8">
        <f>SUM(F42:F46)</f>
        <v>29771.3</v>
      </c>
      <c r="G41" s="8">
        <f>SUM(G42:G46)</f>
        <v>33820.6</v>
      </c>
      <c r="H41" s="8">
        <f>SUM(H42:H46)</f>
        <v>0</v>
      </c>
      <c r="I41" s="8">
        <f>SUM(I42:I46)</f>
        <v>0</v>
      </c>
      <c r="J41" s="756" t="s">
        <v>31</v>
      </c>
      <c r="K41" s="756" t="s">
        <v>277</v>
      </c>
    </row>
    <row r="42" spans="1:11" s="2" customFormat="1">
      <c r="A42" s="753"/>
      <c r="B42" s="754"/>
      <c r="C42" s="755"/>
      <c r="D42" s="57">
        <v>2016</v>
      </c>
      <c r="E42" s="8">
        <f t="shared" si="5"/>
        <v>7077</v>
      </c>
      <c r="F42" s="9">
        <v>100</v>
      </c>
      <c r="G42" s="9">
        <v>6977</v>
      </c>
      <c r="H42" s="9">
        <v>0</v>
      </c>
      <c r="I42" s="9">
        <v>0</v>
      </c>
      <c r="J42" s="756"/>
      <c r="K42" s="756"/>
    </row>
    <row r="43" spans="1:11" s="2" customFormat="1">
      <c r="A43" s="753"/>
      <c r="B43" s="754"/>
      <c r="C43" s="755"/>
      <c r="D43" s="57">
        <v>2017</v>
      </c>
      <c r="E43" s="8">
        <f t="shared" si="5"/>
        <v>17880</v>
      </c>
      <c r="F43" s="9">
        <v>180</v>
      </c>
      <c r="G43" s="9">
        <v>17700</v>
      </c>
      <c r="H43" s="9">
        <v>0</v>
      </c>
      <c r="I43" s="9">
        <v>0</v>
      </c>
      <c r="J43" s="756"/>
      <c r="K43" s="756"/>
    </row>
    <row r="44" spans="1:11" s="2" customFormat="1">
      <c r="A44" s="753"/>
      <c r="B44" s="754"/>
      <c r="C44" s="755"/>
      <c r="D44" s="57">
        <v>2018</v>
      </c>
      <c r="E44" s="8">
        <f t="shared" si="5"/>
        <v>12878.3</v>
      </c>
      <c r="F44" s="9">
        <v>3734.7</v>
      </c>
      <c r="G44" s="9">
        <v>9143.6</v>
      </c>
      <c r="H44" s="9">
        <v>0</v>
      </c>
      <c r="I44" s="9">
        <v>0</v>
      </c>
      <c r="J44" s="756"/>
      <c r="K44" s="756"/>
    </row>
    <row r="45" spans="1:11" s="2" customFormat="1">
      <c r="A45" s="753"/>
      <c r="B45" s="754"/>
      <c r="C45" s="755"/>
      <c r="D45" s="57">
        <v>2019</v>
      </c>
      <c r="E45" s="8">
        <f t="shared" si="5"/>
        <v>12878.3</v>
      </c>
      <c r="F45" s="9">
        <v>12878.3</v>
      </c>
      <c r="G45" s="9">
        <v>0</v>
      </c>
      <c r="H45" s="9">
        <v>0</v>
      </c>
      <c r="I45" s="9">
        <v>0</v>
      </c>
      <c r="J45" s="756"/>
      <c r="K45" s="756"/>
    </row>
    <row r="46" spans="1:11" s="2" customFormat="1">
      <c r="A46" s="753"/>
      <c r="B46" s="754"/>
      <c r="C46" s="755"/>
      <c r="D46" s="57">
        <v>2020</v>
      </c>
      <c r="E46" s="8">
        <f t="shared" si="5"/>
        <v>12878.3</v>
      </c>
      <c r="F46" s="9">
        <v>12878.3</v>
      </c>
      <c r="G46" s="9">
        <v>0</v>
      </c>
      <c r="H46" s="9">
        <v>0</v>
      </c>
      <c r="I46" s="9">
        <v>0</v>
      </c>
      <c r="J46" s="756"/>
      <c r="K46" s="756"/>
    </row>
    <row r="47" spans="1:11" s="2" customFormat="1" ht="15" customHeight="1">
      <c r="A47" s="765" t="s">
        <v>185</v>
      </c>
      <c r="B47" s="760" t="s">
        <v>186</v>
      </c>
      <c r="C47" s="762" t="s">
        <v>187</v>
      </c>
      <c r="D47" s="51" t="s">
        <v>8</v>
      </c>
      <c r="E47" s="8">
        <f t="shared" si="5"/>
        <v>32432.399999999998</v>
      </c>
      <c r="F47" s="8">
        <f>SUM(F48:F52)</f>
        <v>24756.699999999997</v>
      </c>
      <c r="G47" s="8">
        <f>SUM(G48:G52)</f>
        <v>7675.7</v>
      </c>
      <c r="H47" s="8">
        <f>SUM(H48:H52)</f>
        <v>0</v>
      </c>
      <c r="I47" s="8">
        <f>SUM(I48:I52)</f>
        <v>0</v>
      </c>
      <c r="J47" s="756" t="s">
        <v>188</v>
      </c>
      <c r="K47" s="757" t="s">
        <v>26</v>
      </c>
    </row>
    <row r="48" spans="1:11" s="2" customFormat="1">
      <c r="A48" s="762"/>
      <c r="B48" s="760"/>
      <c r="C48" s="762"/>
      <c r="D48" s="51">
        <v>2016</v>
      </c>
      <c r="E48" s="8">
        <f t="shared" si="5"/>
        <v>0</v>
      </c>
      <c r="F48" s="9">
        <v>0</v>
      </c>
      <c r="G48" s="9">
        <v>0</v>
      </c>
      <c r="H48" s="9">
        <v>0</v>
      </c>
      <c r="I48" s="9">
        <v>0</v>
      </c>
      <c r="J48" s="756"/>
      <c r="K48" s="757"/>
    </row>
    <row r="49" spans="1:11" s="2" customFormat="1">
      <c r="A49" s="762"/>
      <c r="B49" s="760"/>
      <c r="C49" s="762"/>
      <c r="D49" s="51">
        <v>2017</v>
      </c>
      <c r="E49" s="8">
        <f t="shared" si="5"/>
        <v>0</v>
      </c>
      <c r="F49" s="9">
        <v>0</v>
      </c>
      <c r="G49" s="9">
        <v>0</v>
      </c>
      <c r="H49" s="9">
        <v>0</v>
      </c>
      <c r="I49" s="9">
        <v>0</v>
      </c>
      <c r="J49" s="756"/>
      <c r="K49" s="757"/>
    </row>
    <row r="50" spans="1:11" s="2" customFormat="1">
      <c r="A50" s="762"/>
      <c r="B50" s="760"/>
      <c r="C50" s="762"/>
      <c r="D50" s="55">
        <v>2018</v>
      </c>
      <c r="E50" s="8">
        <f t="shared" si="5"/>
        <v>10810.8</v>
      </c>
      <c r="F50" s="9">
        <v>3135.1</v>
      </c>
      <c r="G50" s="9">
        <v>7675.7</v>
      </c>
      <c r="H50" s="9">
        <v>0</v>
      </c>
      <c r="I50" s="9">
        <v>0</v>
      </c>
      <c r="J50" s="756"/>
      <c r="K50" s="757"/>
    </row>
    <row r="51" spans="1:11" s="2" customFormat="1">
      <c r="A51" s="762"/>
      <c r="B51" s="760"/>
      <c r="C51" s="762"/>
      <c r="D51" s="55">
        <v>2019</v>
      </c>
      <c r="E51" s="8">
        <f t="shared" si="5"/>
        <v>10810.8</v>
      </c>
      <c r="F51" s="9">
        <v>10810.8</v>
      </c>
      <c r="G51" s="9">
        <v>0</v>
      </c>
      <c r="H51" s="9">
        <v>0</v>
      </c>
      <c r="I51" s="9">
        <v>0</v>
      </c>
      <c r="J51" s="756"/>
      <c r="K51" s="757"/>
    </row>
    <row r="52" spans="1:11" s="2" customFormat="1">
      <c r="A52" s="762"/>
      <c r="B52" s="760"/>
      <c r="C52" s="762"/>
      <c r="D52" s="55">
        <v>2020</v>
      </c>
      <c r="E52" s="8">
        <f t="shared" si="5"/>
        <v>10810.8</v>
      </c>
      <c r="F52" s="9">
        <v>10810.8</v>
      </c>
      <c r="G52" s="9">
        <v>0</v>
      </c>
      <c r="H52" s="9">
        <v>0</v>
      </c>
      <c r="I52" s="9">
        <v>0</v>
      </c>
      <c r="J52" s="756"/>
      <c r="K52" s="757"/>
    </row>
    <row r="53" spans="1:11" s="2" customFormat="1" ht="15" customHeight="1">
      <c r="A53" s="765" t="s">
        <v>189</v>
      </c>
      <c r="B53" s="760" t="s">
        <v>190</v>
      </c>
      <c r="C53" s="762">
        <v>2018</v>
      </c>
      <c r="D53" s="51" t="s">
        <v>8</v>
      </c>
      <c r="E53" s="8">
        <f t="shared" si="5"/>
        <v>28950</v>
      </c>
      <c r="F53" s="8">
        <f>SUM(F54:F58)</f>
        <v>28950</v>
      </c>
      <c r="G53" s="8">
        <f>SUM(G54:G58)</f>
        <v>0</v>
      </c>
      <c r="H53" s="8">
        <f>SUM(H54:H58)</f>
        <v>0</v>
      </c>
      <c r="I53" s="8">
        <f>SUM(I54:I58)</f>
        <v>0</v>
      </c>
      <c r="J53" s="756" t="s">
        <v>191</v>
      </c>
      <c r="K53" s="757" t="s">
        <v>26</v>
      </c>
    </row>
    <row r="54" spans="1:11" s="2" customFormat="1">
      <c r="A54" s="762"/>
      <c r="B54" s="760"/>
      <c r="C54" s="762"/>
      <c r="D54" s="51">
        <v>2016</v>
      </c>
      <c r="E54" s="8">
        <f t="shared" si="5"/>
        <v>0</v>
      </c>
      <c r="F54" s="9">
        <v>0</v>
      </c>
      <c r="G54" s="9">
        <v>0</v>
      </c>
      <c r="H54" s="9">
        <v>0</v>
      </c>
      <c r="I54" s="9">
        <v>0</v>
      </c>
      <c r="J54" s="756"/>
      <c r="K54" s="757"/>
    </row>
    <row r="55" spans="1:11" s="2" customFormat="1">
      <c r="A55" s="762"/>
      <c r="B55" s="760"/>
      <c r="C55" s="762"/>
      <c r="D55" s="51">
        <v>2017</v>
      </c>
      <c r="E55" s="8">
        <f t="shared" si="5"/>
        <v>0</v>
      </c>
      <c r="F55" s="9">
        <v>0</v>
      </c>
      <c r="G55" s="9">
        <v>0</v>
      </c>
      <c r="H55" s="9">
        <v>0</v>
      </c>
      <c r="I55" s="9">
        <v>0</v>
      </c>
      <c r="J55" s="756"/>
      <c r="K55" s="757"/>
    </row>
    <row r="56" spans="1:11" s="2" customFormat="1">
      <c r="A56" s="762"/>
      <c r="B56" s="760"/>
      <c r="C56" s="762"/>
      <c r="D56" s="55">
        <v>2018</v>
      </c>
      <c r="E56" s="8">
        <f t="shared" si="5"/>
        <v>28950</v>
      </c>
      <c r="F56" s="9">
        <v>28950</v>
      </c>
      <c r="G56" s="9">
        <v>0</v>
      </c>
      <c r="H56" s="9">
        <v>0</v>
      </c>
      <c r="I56" s="9">
        <v>0</v>
      </c>
      <c r="J56" s="756"/>
      <c r="K56" s="757"/>
    </row>
    <row r="57" spans="1:11" s="2" customFormat="1">
      <c r="A57" s="762"/>
      <c r="B57" s="760"/>
      <c r="C57" s="762"/>
      <c r="D57" s="55">
        <v>2019</v>
      </c>
      <c r="E57" s="8">
        <f t="shared" si="5"/>
        <v>0</v>
      </c>
      <c r="F57" s="9">
        <v>0</v>
      </c>
      <c r="G57" s="9">
        <v>0</v>
      </c>
      <c r="H57" s="9">
        <v>0</v>
      </c>
      <c r="I57" s="9">
        <v>0</v>
      </c>
      <c r="J57" s="756"/>
      <c r="K57" s="757"/>
    </row>
    <row r="58" spans="1:11" s="2" customFormat="1">
      <c r="A58" s="762"/>
      <c r="B58" s="760"/>
      <c r="C58" s="762"/>
      <c r="D58" s="55">
        <v>2020</v>
      </c>
      <c r="E58" s="8">
        <f t="shared" si="5"/>
        <v>0</v>
      </c>
      <c r="F58" s="9">
        <v>0</v>
      </c>
      <c r="G58" s="9">
        <v>0</v>
      </c>
      <c r="H58" s="9">
        <v>0</v>
      </c>
      <c r="I58" s="9">
        <v>0</v>
      </c>
      <c r="J58" s="756"/>
      <c r="K58" s="757"/>
    </row>
    <row r="59" spans="1:11" ht="20.100000000000001" customHeight="1">
      <c r="A59" s="753" t="s">
        <v>174</v>
      </c>
      <c r="B59" s="754" t="s">
        <v>34</v>
      </c>
      <c r="C59" s="755" t="s">
        <v>14</v>
      </c>
      <c r="D59" s="57" t="s">
        <v>8</v>
      </c>
      <c r="E59" s="8">
        <f t="shared" si="5"/>
        <v>41300.6</v>
      </c>
      <c r="F59" s="8">
        <f>SUM(F60:F64)</f>
        <v>40341.1</v>
      </c>
      <c r="G59" s="8">
        <f>SUM(G60:G63)</f>
        <v>959.5</v>
      </c>
      <c r="H59" s="8">
        <f>SUM(H60:H63)</f>
        <v>0</v>
      </c>
      <c r="I59" s="8">
        <f>SUM(I60:I63)</f>
        <v>0</v>
      </c>
      <c r="J59" s="756" t="s">
        <v>35</v>
      </c>
      <c r="K59" s="757" t="s">
        <v>26</v>
      </c>
    </row>
    <row r="60" spans="1:11" ht="20.100000000000001" customHeight="1">
      <c r="A60" s="753"/>
      <c r="B60" s="754"/>
      <c r="C60" s="755"/>
      <c r="D60" s="57">
        <v>2016</v>
      </c>
      <c r="E60" s="8">
        <f t="shared" si="5"/>
        <v>4215.7</v>
      </c>
      <c r="F60" s="8">
        <f t="shared" ref="F60:I64" si="7">F66+F72+F78</f>
        <v>3256.2</v>
      </c>
      <c r="G60" s="8">
        <f t="shared" si="7"/>
        <v>959.5</v>
      </c>
      <c r="H60" s="8">
        <f t="shared" si="7"/>
        <v>0</v>
      </c>
      <c r="I60" s="8">
        <f t="shared" si="7"/>
        <v>0</v>
      </c>
      <c r="J60" s="756"/>
      <c r="K60" s="757"/>
    </row>
    <row r="61" spans="1:11" ht="20.100000000000001" customHeight="1">
      <c r="A61" s="753"/>
      <c r="B61" s="754"/>
      <c r="C61" s="755"/>
      <c r="D61" s="57">
        <v>2017</v>
      </c>
      <c r="E61" s="8">
        <f>SUM(F61:I61)</f>
        <v>2166.1999999999998</v>
      </c>
      <c r="F61" s="8">
        <f t="shared" si="7"/>
        <v>2166.1999999999998</v>
      </c>
      <c r="G61" s="8">
        <f t="shared" si="7"/>
        <v>0</v>
      </c>
      <c r="H61" s="8">
        <f t="shared" si="7"/>
        <v>0</v>
      </c>
      <c r="I61" s="8">
        <f t="shared" si="7"/>
        <v>0</v>
      </c>
      <c r="J61" s="756"/>
      <c r="K61" s="757"/>
    </row>
    <row r="62" spans="1:11" ht="20.100000000000001" customHeight="1">
      <c r="A62" s="753"/>
      <c r="B62" s="754"/>
      <c r="C62" s="755"/>
      <c r="D62" s="57">
        <v>2018</v>
      </c>
      <c r="E62" s="8">
        <f t="shared" si="5"/>
        <v>11318.4</v>
      </c>
      <c r="F62" s="8">
        <f t="shared" si="7"/>
        <v>11318.4</v>
      </c>
      <c r="G62" s="8">
        <f t="shared" si="7"/>
        <v>0</v>
      </c>
      <c r="H62" s="8">
        <f t="shared" si="7"/>
        <v>0</v>
      </c>
      <c r="I62" s="8">
        <f t="shared" si="7"/>
        <v>0</v>
      </c>
      <c r="J62" s="756"/>
      <c r="K62" s="757"/>
    </row>
    <row r="63" spans="1:11" ht="20.100000000000001" customHeight="1">
      <c r="A63" s="753"/>
      <c r="B63" s="754"/>
      <c r="C63" s="755"/>
      <c r="D63" s="57">
        <v>2019</v>
      </c>
      <c r="E63" s="8">
        <f>SUM(F63:I63)</f>
        <v>11635.7</v>
      </c>
      <c r="F63" s="8">
        <f t="shared" si="7"/>
        <v>11635.7</v>
      </c>
      <c r="G63" s="8">
        <f t="shared" si="7"/>
        <v>0</v>
      </c>
      <c r="H63" s="8">
        <f t="shared" si="7"/>
        <v>0</v>
      </c>
      <c r="I63" s="8">
        <f t="shared" si="7"/>
        <v>0</v>
      </c>
      <c r="J63" s="756"/>
      <c r="K63" s="757"/>
    </row>
    <row r="64" spans="1:11" ht="20.100000000000001" customHeight="1">
      <c r="A64" s="753"/>
      <c r="B64" s="754"/>
      <c r="C64" s="755"/>
      <c r="D64" s="57">
        <v>2020</v>
      </c>
      <c r="E64" s="8">
        <f>SUM(F64:I64)</f>
        <v>11964.6</v>
      </c>
      <c r="F64" s="8">
        <f t="shared" si="7"/>
        <v>11964.6</v>
      </c>
      <c r="G64" s="8">
        <f t="shared" si="7"/>
        <v>0</v>
      </c>
      <c r="H64" s="8">
        <f t="shared" si="7"/>
        <v>0</v>
      </c>
      <c r="I64" s="8">
        <f t="shared" si="7"/>
        <v>0</v>
      </c>
      <c r="J64" s="756"/>
      <c r="K64" s="757"/>
    </row>
    <row r="65" spans="1:11" s="2" customFormat="1" ht="18.75" customHeight="1">
      <c r="A65" s="753" t="s">
        <v>33</v>
      </c>
      <c r="B65" s="754" t="s">
        <v>36</v>
      </c>
      <c r="C65" s="755" t="s">
        <v>160</v>
      </c>
      <c r="D65" s="57" t="s">
        <v>8</v>
      </c>
      <c r="E65" s="8">
        <f t="shared" si="5"/>
        <v>950</v>
      </c>
      <c r="F65" s="8">
        <f>SUM(F66:F70)</f>
        <v>950</v>
      </c>
      <c r="G65" s="8">
        <f>SUM(G66:G70)</f>
        <v>0</v>
      </c>
      <c r="H65" s="8">
        <f>SUM(H66:H70)</f>
        <v>0</v>
      </c>
      <c r="I65" s="8">
        <f>SUM(I66:I70)</f>
        <v>0</v>
      </c>
      <c r="J65" s="756" t="s">
        <v>37</v>
      </c>
      <c r="K65" s="756" t="s">
        <v>23</v>
      </c>
    </row>
    <row r="66" spans="1:11" s="2" customFormat="1" ht="18.75" customHeight="1">
      <c r="A66" s="753"/>
      <c r="B66" s="754"/>
      <c r="C66" s="755"/>
      <c r="D66" s="57">
        <v>2016</v>
      </c>
      <c r="E66" s="8">
        <f t="shared" si="5"/>
        <v>475</v>
      </c>
      <c r="F66" s="8">
        <v>475</v>
      </c>
      <c r="G66" s="9">
        <v>0</v>
      </c>
      <c r="H66" s="9">
        <v>0</v>
      </c>
      <c r="I66" s="9">
        <v>0</v>
      </c>
      <c r="J66" s="756"/>
      <c r="K66" s="756"/>
    </row>
    <row r="67" spans="1:11" s="2" customFormat="1" ht="18.75" customHeight="1">
      <c r="A67" s="753"/>
      <c r="B67" s="754"/>
      <c r="C67" s="755"/>
      <c r="D67" s="57">
        <v>2017</v>
      </c>
      <c r="E67" s="8">
        <f>SUM(F67:I67)</f>
        <v>475</v>
      </c>
      <c r="F67" s="8">
        <v>475</v>
      </c>
      <c r="G67" s="9">
        <v>0</v>
      </c>
      <c r="H67" s="9">
        <v>0</v>
      </c>
      <c r="I67" s="9">
        <v>0</v>
      </c>
      <c r="J67" s="756"/>
      <c r="K67" s="756"/>
    </row>
    <row r="68" spans="1:11" s="2" customFormat="1" ht="18.75" customHeight="1">
      <c r="A68" s="753"/>
      <c r="B68" s="754"/>
      <c r="C68" s="755"/>
      <c r="D68" s="57">
        <v>2018</v>
      </c>
      <c r="E68" s="8">
        <f t="shared" si="5"/>
        <v>0</v>
      </c>
      <c r="F68" s="8">
        <v>0</v>
      </c>
      <c r="G68" s="9">
        <v>0</v>
      </c>
      <c r="H68" s="9">
        <v>0</v>
      </c>
      <c r="I68" s="9">
        <v>0</v>
      </c>
      <c r="J68" s="756"/>
      <c r="K68" s="756"/>
    </row>
    <row r="69" spans="1:11" s="2" customFormat="1" ht="18.75" customHeight="1">
      <c r="A69" s="753"/>
      <c r="B69" s="754"/>
      <c r="C69" s="755"/>
      <c r="D69" s="57">
        <v>2019</v>
      </c>
      <c r="E69" s="8">
        <f t="shared" ref="E69:E87" si="8">SUM(F69:I69)</f>
        <v>0</v>
      </c>
      <c r="F69" s="8">
        <v>0</v>
      </c>
      <c r="G69" s="9">
        <v>0</v>
      </c>
      <c r="H69" s="9">
        <v>0</v>
      </c>
      <c r="I69" s="9">
        <v>0</v>
      </c>
      <c r="J69" s="756"/>
      <c r="K69" s="756"/>
    </row>
    <row r="70" spans="1:11" s="2" customFormat="1" ht="18.75" customHeight="1">
      <c r="A70" s="753"/>
      <c r="B70" s="754"/>
      <c r="C70" s="755"/>
      <c r="D70" s="57">
        <v>2020</v>
      </c>
      <c r="E70" s="8">
        <f>SUM(F70:I70)</f>
        <v>0</v>
      </c>
      <c r="F70" s="8">
        <v>0</v>
      </c>
      <c r="G70" s="9">
        <v>0</v>
      </c>
      <c r="H70" s="9">
        <v>0</v>
      </c>
      <c r="I70" s="9">
        <v>0</v>
      </c>
      <c r="J70" s="756"/>
      <c r="K70" s="756"/>
    </row>
    <row r="71" spans="1:11" s="2" customFormat="1" ht="15" customHeight="1">
      <c r="A71" s="753" t="s">
        <v>192</v>
      </c>
      <c r="B71" s="754" t="s">
        <v>38</v>
      </c>
      <c r="C71" s="755">
        <v>2016</v>
      </c>
      <c r="D71" s="57" t="s">
        <v>8</v>
      </c>
      <c r="E71" s="8">
        <f t="shared" si="8"/>
        <v>3740.7</v>
      </c>
      <c r="F71" s="8">
        <f>SUM(F72:F76)</f>
        <v>2781.2</v>
      </c>
      <c r="G71" s="8">
        <f>SUM(G72:G76)</f>
        <v>959.5</v>
      </c>
      <c r="H71" s="8">
        <f>SUM(H72:H76)</f>
        <v>0</v>
      </c>
      <c r="I71" s="8">
        <f>SUM(I72:I76)</f>
        <v>0</v>
      </c>
      <c r="J71" s="756" t="s">
        <v>193</v>
      </c>
      <c r="K71" s="757" t="s">
        <v>39</v>
      </c>
    </row>
    <row r="72" spans="1:11" s="2" customFormat="1" ht="15" customHeight="1">
      <c r="A72" s="753"/>
      <c r="B72" s="754"/>
      <c r="C72" s="755"/>
      <c r="D72" s="57">
        <v>2016</v>
      </c>
      <c r="E72" s="8">
        <f t="shared" si="8"/>
        <v>3740.7</v>
      </c>
      <c r="F72" s="8">
        <v>2781.2</v>
      </c>
      <c r="G72" s="9">
        <v>959.5</v>
      </c>
      <c r="H72" s="9">
        <v>0</v>
      </c>
      <c r="I72" s="9">
        <v>0</v>
      </c>
      <c r="J72" s="756"/>
      <c r="K72" s="757"/>
    </row>
    <row r="73" spans="1:11" s="2" customFormat="1" ht="15" customHeight="1">
      <c r="A73" s="753"/>
      <c r="B73" s="754"/>
      <c r="C73" s="755"/>
      <c r="D73" s="57">
        <v>2017</v>
      </c>
      <c r="E73" s="8">
        <f t="shared" si="8"/>
        <v>0</v>
      </c>
      <c r="F73" s="8">
        <v>0</v>
      </c>
      <c r="G73" s="9">
        <v>0</v>
      </c>
      <c r="H73" s="9">
        <v>0</v>
      </c>
      <c r="I73" s="9">
        <v>0</v>
      </c>
      <c r="J73" s="756"/>
      <c r="K73" s="757"/>
    </row>
    <row r="74" spans="1:11" s="2" customFormat="1" ht="15" customHeight="1">
      <c r="A74" s="753"/>
      <c r="B74" s="754"/>
      <c r="C74" s="755"/>
      <c r="D74" s="57">
        <v>2018</v>
      </c>
      <c r="E74" s="8">
        <f t="shared" si="8"/>
        <v>0</v>
      </c>
      <c r="F74" s="8">
        <v>0</v>
      </c>
      <c r="G74" s="9">
        <v>0</v>
      </c>
      <c r="H74" s="9">
        <v>0</v>
      </c>
      <c r="I74" s="9">
        <v>0</v>
      </c>
      <c r="J74" s="756"/>
      <c r="K74" s="757"/>
    </row>
    <row r="75" spans="1:11" s="2" customFormat="1" ht="15" customHeight="1">
      <c r="A75" s="753"/>
      <c r="B75" s="754"/>
      <c r="C75" s="755"/>
      <c r="D75" s="57">
        <v>2019</v>
      </c>
      <c r="E75" s="8">
        <f t="shared" si="8"/>
        <v>0</v>
      </c>
      <c r="F75" s="8">
        <v>0</v>
      </c>
      <c r="G75" s="9">
        <v>0</v>
      </c>
      <c r="H75" s="9">
        <v>0</v>
      </c>
      <c r="I75" s="9">
        <v>0</v>
      </c>
      <c r="J75" s="756"/>
      <c r="K75" s="757"/>
    </row>
    <row r="76" spans="1:11" s="2" customFormat="1" ht="15" customHeight="1">
      <c r="A76" s="753"/>
      <c r="B76" s="754"/>
      <c r="C76" s="755"/>
      <c r="D76" s="57">
        <v>2020</v>
      </c>
      <c r="E76" s="8">
        <f t="shared" si="8"/>
        <v>0</v>
      </c>
      <c r="F76" s="8">
        <v>0</v>
      </c>
      <c r="G76" s="9">
        <v>0</v>
      </c>
      <c r="H76" s="9">
        <v>0</v>
      </c>
      <c r="I76" s="9">
        <v>0</v>
      </c>
      <c r="J76" s="756"/>
      <c r="K76" s="757"/>
    </row>
    <row r="77" spans="1:11" s="2" customFormat="1" ht="18.75" customHeight="1">
      <c r="A77" s="753" t="s">
        <v>194</v>
      </c>
      <c r="B77" s="754" t="s">
        <v>22</v>
      </c>
      <c r="C77" s="755" t="s">
        <v>195</v>
      </c>
      <c r="D77" s="55" t="s">
        <v>8</v>
      </c>
      <c r="E77" s="8">
        <f t="shared" si="8"/>
        <v>36609.9</v>
      </c>
      <c r="F77" s="8">
        <f>SUM(F78:F82)</f>
        <v>36609.9</v>
      </c>
      <c r="G77" s="8">
        <f>SUM(G78:G82)</f>
        <v>0</v>
      </c>
      <c r="H77" s="8">
        <f>SUM(H78:H82)</f>
        <v>0</v>
      </c>
      <c r="I77" s="8">
        <f>SUM(I78:I82)</f>
        <v>0</v>
      </c>
      <c r="J77" s="756" t="s">
        <v>278</v>
      </c>
      <c r="K77" s="757" t="s">
        <v>23</v>
      </c>
    </row>
    <row r="78" spans="1:11" s="2" customFormat="1" ht="18.75" customHeight="1">
      <c r="A78" s="753"/>
      <c r="B78" s="754"/>
      <c r="C78" s="755"/>
      <c r="D78" s="55">
        <v>2016</v>
      </c>
      <c r="E78" s="8">
        <f t="shared" si="8"/>
        <v>0</v>
      </c>
      <c r="F78" s="8">
        <v>0</v>
      </c>
      <c r="G78" s="9">
        <v>0</v>
      </c>
      <c r="H78" s="9">
        <v>0</v>
      </c>
      <c r="I78" s="9">
        <v>0</v>
      </c>
      <c r="J78" s="756"/>
      <c r="K78" s="757"/>
    </row>
    <row r="79" spans="1:11" s="2" customFormat="1" ht="18.75" customHeight="1">
      <c r="A79" s="753"/>
      <c r="B79" s="754"/>
      <c r="C79" s="755"/>
      <c r="D79" s="55">
        <v>2017</v>
      </c>
      <c r="E79" s="8">
        <f t="shared" si="8"/>
        <v>1691.2</v>
      </c>
      <c r="F79" s="8">
        <v>1691.2</v>
      </c>
      <c r="G79" s="9">
        <v>0</v>
      </c>
      <c r="H79" s="9">
        <v>0</v>
      </c>
      <c r="I79" s="9">
        <v>0</v>
      </c>
      <c r="J79" s="756"/>
      <c r="K79" s="757"/>
    </row>
    <row r="80" spans="1:11" s="2" customFormat="1" ht="18.75" customHeight="1">
      <c r="A80" s="753"/>
      <c r="B80" s="754"/>
      <c r="C80" s="755"/>
      <c r="D80" s="55">
        <v>2018</v>
      </c>
      <c r="E80" s="8">
        <f t="shared" si="8"/>
        <v>11318.4</v>
      </c>
      <c r="F80" s="8">
        <v>11318.4</v>
      </c>
      <c r="G80" s="9">
        <v>0</v>
      </c>
      <c r="H80" s="9">
        <v>0</v>
      </c>
      <c r="I80" s="9">
        <v>0</v>
      </c>
      <c r="J80" s="756"/>
      <c r="K80" s="757"/>
    </row>
    <row r="81" spans="1:11" s="2" customFormat="1" ht="18.75" customHeight="1">
      <c r="A81" s="753"/>
      <c r="B81" s="754"/>
      <c r="C81" s="755"/>
      <c r="D81" s="55">
        <v>2019</v>
      </c>
      <c r="E81" s="8">
        <f t="shared" si="8"/>
        <v>11635.7</v>
      </c>
      <c r="F81" s="8">
        <v>11635.7</v>
      </c>
      <c r="G81" s="9">
        <v>0</v>
      </c>
      <c r="H81" s="9">
        <v>0</v>
      </c>
      <c r="I81" s="9">
        <v>0</v>
      </c>
      <c r="J81" s="756"/>
      <c r="K81" s="757"/>
    </row>
    <row r="82" spans="1:11" s="2" customFormat="1" ht="18.75" customHeight="1">
      <c r="A82" s="753"/>
      <c r="B82" s="754"/>
      <c r="C82" s="755"/>
      <c r="D82" s="55">
        <v>2020</v>
      </c>
      <c r="E82" s="8">
        <f t="shared" si="8"/>
        <v>11964.6</v>
      </c>
      <c r="F82" s="8">
        <v>11964.6</v>
      </c>
      <c r="G82" s="9">
        <v>0</v>
      </c>
      <c r="H82" s="9">
        <v>0</v>
      </c>
      <c r="I82" s="9">
        <v>0</v>
      </c>
      <c r="J82" s="756"/>
      <c r="K82" s="757"/>
    </row>
    <row r="83" spans="1:11" s="2" customFormat="1" ht="15" customHeight="1">
      <c r="A83" s="753" t="s">
        <v>40</v>
      </c>
      <c r="B83" s="756" t="s">
        <v>41</v>
      </c>
      <c r="C83" s="755" t="s">
        <v>14</v>
      </c>
      <c r="D83" s="57" t="s">
        <v>8</v>
      </c>
      <c r="E83" s="8">
        <f t="shared" si="8"/>
        <v>2472843.1999999997</v>
      </c>
      <c r="F83" s="8">
        <f>SUM(F84:F88)</f>
        <v>2443266.9</v>
      </c>
      <c r="G83" s="8">
        <f>SUM(G84:G88)</f>
        <v>29576.3</v>
      </c>
      <c r="H83" s="8">
        <f>SUM(H84:H88)</f>
        <v>0</v>
      </c>
      <c r="I83" s="8">
        <f>SUM(I84:I88)</f>
        <v>0</v>
      </c>
      <c r="J83" s="756"/>
      <c r="K83" s="757" t="s">
        <v>42</v>
      </c>
    </row>
    <row r="84" spans="1:11" s="2" customFormat="1">
      <c r="A84" s="753"/>
      <c r="B84" s="756"/>
      <c r="C84" s="755"/>
      <c r="D84" s="57">
        <v>2016</v>
      </c>
      <c r="E84" s="8">
        <f t="shared" si="8"/>
        <v>385423.4</v>
      </c>
      <c r="F84" s="8">
        <f t="shared" ref="F84:I88" si="9">F90+F156+F186</f>
        <v>379215.5</v>
      </c>
      <c r="G84" s="8">
        <f t="shared" si="9"/>
        <v>6207.9</v>
      </c>
      <c r="H84" s="8">
        <f t="shared" si="9"/>
        <v>0</v>
      </c>
      <c r="I84" s="8">
        <f t="shared" si="9"/>
        <v>0</v>
      </c>
      <c r="J84" s="756"/>
      <c r="K84" s="757"/>
    </row>
    <row r="85" spans="1:11">
      <c r="A85" s="753"/>
      <c r="B85" s="756"/>
      <c r="C85" s="755"/>
      <c r="D85" s="57">
        <v>2017</v>
      </c>
      <c r="E85" s="8">
        <f t="shared" si="8"/>
        <v>456261.4</v>
      </c>
      <c r="F85" s="8">
        <f t="shared" si="9"/>
        <v>448205.9</v>
      </c>
      <c r="G85" s="8">
        <f t="shared" si="9"/>
        <v>8055.5</v>
      </c>
      <c r="H85" s="8">
        <f t="shared" si="9"/>
        <v>0</v>
      </c>
      <c r="I85" s="8">
        <f t="shared" si="9"/>
        <v>0</v>
      </c>
      <c r="J85" s="756"/>
      <c r="K85" s="757"/>
    </row>
    <row r="86" spans="1:11">
      <c r="A86" s="753"/>
      <c r="B86" s="756"/>
      <c r="C86" s="755"/>
      <c r="D86" s="57">
        <v>2018</v>
      </c>
      <c r="E86" s="8">
        <f t="shared" si="8"/>
        <v>564541.4</v>
      </c>
      <c r="F86" s="8">
        <f t="shared" si="9"/>
        <v>549228.5</v>
      </c>
      <c r="G86" s="8">
        <f t="shared" si="9"/>
        <v>15312.9</v>
      </c>
      <c r="H86" s="8">
        <f t="shared" si="9"/>
        <v>0</v>
      </c>
      <c r="I86" s="8">
        <f t="shared" si="9"/>
        <v>0</v>
      </c>
      <c r="J86" s="756"/>
      <c r="K86" s="757"/>
    </row>
    <row r="87" spans="1:11">
      <c r="A87" s="753"/>
      <c r="B87" s="756"/>
      <c r="C87" s="755"/>
      <c r="D87" s="57">
        <v>2019</v>
      </c>
      <c r="E87" s="8">
        <f t="shared" si="8"/>
        <v>527685.5</v>
      </c>
      <c r="F87" s="8">
        <f t="shared" si="9"/>
        <v>527685.5</v>
      </c>
      <c r="G87" s="8">
        <f t="shared" si="9"/>
        <v>0</v>
      </c>
      <c r="H87" s="8">
        <f t="shared" si="9"/>
        <v>0</v>
      </c>
      <c r="I87" s="8">
        <f t="shared" si="9"/>
        <v>0</v>
      </c>
      <c r="J87" s="756"/>
      <c r="K87" s="757"/>
    </row>
    <row r="88" spans="1:11">
      <c r="A88" s="753"/>
      <c r="B88" s="756"/>
      <c r="C88" s="755"/>
      <c r="D88" s="57">
        <v>2020</v>
      </c>
      <c r="E88" s="8">
        <f>SUM(F88:I88)</f>
        <v>538931.5</v>
      </c>
      <c r="F88" s="8">
        <f t="shared" si="9"/>
        <v>538931.5</v>
      </c>
      <c r="G88" s="8">
        <f t="shared" si="9"/>
        <v>0</v>
      </c>
      <c r="H88" s="8">
        <f t="shared" si="9"/>
        <v>0</v>
      </c>
      <c r="I88" s="8">
        <f t="shared" si="9"/>
        <v>0</v>
      </c>
      <c r="J88" s="756"/>
      <c r="K88" s="757"/>
    </row>
    <row r="89" spans="1:11" ht="13.5" customHeight="1">
      <c r="A89" s="753" t="s">
        <v>175</v>
      </c>
      <c r="B89" s="754" t="s">
        <v>44</v>
      </c>
      <c r="C89" s="755" t="s">
        <v>14</v>
      </c>
      <c r="D89" s="57" t="s">
        <v>8</v>
      </c>
      <c r="E89" s="8">
        <f t="shared" ref="E89:I94" si="10">SUM(E95+E101,E107,E113,E119,E125,E131,E137,E143,E149)</f>
        <v>522163.1</v>
      </c>
      <c r="F89" s="8">
        <f t="shared" si="10"/>
        <v>522163.1</v>
      </c>
      <c r="G89" s="8">
        <f t="shared" si="10"/>
        <v>0</v>
      </c>
      <c r="H89" s="8">
        <f t="shared" si="10"/>
        <v>0</v>
      </c>
      <c r="I89" s="8">
        <f t="shared" si="10"/>
        <v>0</v>
      </c>
      <c r="J89" s="756" t="s">
        <v>45</v>
      </c>
      <c r="K89" s="757" t="s">
        <v>18</v>
      </c>
    </row>
    <row r="90" spans="1:11" ht="13.5" customHeight="1">
      <c r="A90" s="753"/>
      <c r="B90" s="754"/>
      <c r="C90" s="755"/>
      <c r="D90" s="57">
        <v>2016</v>
      </c>
      <c r="E90" s="8">
        <f t="shared" si="10"/>
        <v>86400.5</v>
      </c>
      <c r="F90" s="8">
        <f t="shared" si="10"/>
        <v>86400.5</v>
      </c>
      <c r="G90" s="8">
        <f t="shared" si="10"/>
        <v>0</v>
      </c>
      <c r="H90" s="8">
        <f t="shared" si="10"/>
        <v>0</v>
      </c>
      <c r="I90" s="8">
        <f t="shared" si="10"/>
        <v>0</v>
      </c>
      <c r="J90" s="756"/>
      <c r="K90" s="757"/>
    </row>
    <row r="91" spans="1:11" ht="13.5" customHeight="1">
      <c r="A91" s="753"/>
      <c r="B91" s="754"/>
      <c r="C91" s="755"/>
      <c r="D91" s="57">
        <v>2017</v>
      </c>
      <c r="E91" s="8">
        <f t="shared" si="10"/>
        <v>84336.700000000012</v>
      </c>
      <c r="F91" s="8">
        <f t="shared" si="10"/>
        <v>84336.700000000012</v>
      </c>
      <c r="G91" s="8">
        <f t="shared" si="10"/>
        <v>0</v>
      </c>
      <c r="H91" s="8">
        <f t="shared" si="10"/>
        <v>0</v>
      </c>
      <c r="I91" s="8">
        <f t="shared" si="10"/>
        <v>0</v>
      </c>
      <c r="J91" s="756"/>
      <c r="K91" s="757"/>
    </row>
    <row r="92" spans="1:11" ht="13.5" customHeight="1">
      <c r="A92" s="753"/>
      <c r="B92" s="754"/>
      <c r="C92" s="755"/>
      <c r="D92" s="57">
        <v>2018</v>
      </c>
      <c r="E92" s="8">
        <f t="shared" si="10"/>
        <v>116483.30000000002</v>
      </c>
      <c r="F92" s="8">
        <f t="shared" si="10"/>
        <v>116483.30000000002</v>
      </c>
      <c r="G92" s="8">
        <f t="shared" si="10"/>
        <v>0</v>
      </c>
      <c r="H92" s="8">
        <f t="shared" si="10"/>
        <v>0</v>
      </c>
      <c r="I92" s="8">
        <f t="shared" si="10"/>
        <v>0</v>
      </c>
      <c r="J92" s="756"/>
      <c r="K92" s="757"/>
    </row>
    <row r="93" spans="1:11" ht="13.5" customHeight="1">
      <c r="A93" s="753"/>
      <c r="B93" s="754"/>
      <c r="C93" s="755"/>
      <c r="D93" s="57">
        <v>2019</v>
      </c>
      <c r="E93" s="8">
        <f t="shared" si="10"/>
        <v>116993.60000000002</v>
      </c>
      <c r="F93" s="8">
        <f t="shared" si="10"/>
        <v>116993.60000000002</v>
      </c>
      <c r="G93" s="8">
        <f t="shared" si="10"/>
        <v>0</v>
      </c>
      <c r="H93" s="8">
        <f t="shared" si="10"/>
        <v>0</v>
      </c>
      <c r="I93" s="8">
        <f t="shared" si="10"/>
        <v>0</v>
      </c>
      <c r="J93" s="756"/>
      <c r="K93" s="757"/>
    </row>
    <row r="94" spans="1:11" ht="13.5" customHeight="1">
      <c r="A94" s="753"/>
      <c r="B94" s="754"/>
      <c r="C94" s="755"/>
      <c r="D94" s="57">
        <v>2020</v>
      </c>
      <c r="E94" s="8">
        <f t="shared" si="10"/>
        <v>117949.00000000001</v>
      </c>
      <c r="F94" s="8">
        <f t="shared" si="10"/>
        <v>117949.00000000001</v>
      </c>
      <c r="G94" s="8">
        <f t="shared" si="10"/>
        <v>0</v>
      </c>
      <c r="H94" s="8">
        <f t="shared" si="10"/>
        <v>0</v>
      </c>
      <c r="I94" s="8">
        <f t="shared" si="10"/>
        <v>0</v>
      </c>
      <c r="J94" s="756"/>
      <c r="K94" s="757"/>
    </row>
    <row r="95" spans="1:11" s="2" customFormat="1" ht="24.95" customHeight="1">
      <c r="A95" s="762" t="s">
        <v>43</v>
      </c>
      <c r="B95" s="760" t="s">
        <v>22</v>
      </c>
      <c r="C95" s="755" t="s">
        <v>14</v>
      </c>
      <c r="D95" s="55" t="s">
        <v>8</v>
      </c>
      <c r="E95" s="8">
        <f t="shared" ref="E95:E105" si="11">SUM(F95:I95)</f>
        <v>322767.3</v>
      </c>
      <c r="F95" s="8">
        <f>SUM(F96:F100)</f>
        <v>322767.3</v>
      </c>
      <c r="G95" s="8">
        <f>SUM(G96:G100)</f>
        <v>0</v>
      </c>
      <c r="H95" s="8">
        <f>SUM(H96:H100)</f>
        <v>0</v>
      </c>
      <c r="I95" s="8">
        <f>SUM(I96:I100)</f>
        <v>0</v>
      </c>
      <c r="J95" s="756" t="s">
        <v>279</v>
      </c>
      <c r="K95" s="764" t="s">
        <v>47</v>
      </c>
    </row>
    <row r="96" spans="1:11" s="2" customFormat="1" ht="24.95" customHeight="1">
      <c r="A96" s="762"/>
      <c r="B96" s="760"/>
      <c r="C96" s="755"/>
      <c r="D96" s="55">
        <v>2016</v>
      </c>
      <c r="E96" s="8">
        <f t="shared" si="11"/>
        <v>50941.599999999999</v>
      </c>
      <c r="F96" s="9">
        <v>50941.599999999999</v>
      </c>
      <c r="G96" s="9">
        <f>[1]План!G128+[1]План!G136+[1]План!G176</f>
        <v>0</v>
      </c>
      <c r="H96" s="9">
        <f>[1]План!H128+[1]План!H136+[1]План!H176</f>
        <v>0</v>
      </c>
      <c r="I96" s="9">
        <f>[1]План!I128+[1]План!I136+[1]План!I176</f>
        <v>0</v>
      </c>
      <c r="J96" s="756"/>
      <c r="K96" s="764"/>
    </row>
    <row r="97" spans="1:11" s="2" customFormat="1" ht="24.95" customHeight="1">
      <c r="A97" s="762"/>
      <c r="B97" s="760"/>
      <c r="C97" s="755"/>
      <c r="D97" s="55">
        <v>2017</v>
      </c>
      <c r="E97" s="8">
        <f t="shared" si="11"/>
        <v>48074.7</v>
      </c>
      <c r="F97" s="9">
        <v>48074.7</v>
      </c>
      <c r="G97" s="9">
        <f>[1]План!G129+[1]План!G137+[1]План!G177</f>
        <v>0</v>
      </c>
      <c r="H97" s="9">
        <f>[1]План!H129+[1]План!H137+[1]План!H177</f>
        <v>0</v>
      </c>
      <c r="I97" s="9">
        <f>[1]План!I129+[1]План!I137+[1]План!I177</f>
        <v>0</v>
      </c>
      <c r="J97" s="756"/>
      <c r="K97" s="764"/>
    </row>
    <row r="98" spans="1:11" s="2" customFormat="1" ht="24.95" customHeight="1">
      <c r="A98" s="762"/>
      <c r="B98" s="760"/>
      <c r="C98" s="755"/>
      <c r="D98" s="58">
        <v>2018</v>
      </c>
      <c r="E98" s="59">
        <f t="shared" si="11"/>
        <v>73925</v>
      </c>
      <c r="F98" s="60">
        <v>73925</v>
      </c>
      <c r="G98" s="9">
        <f>[1]План!G130+[1]План!G138+[1]План!G178</f>
        <v>0</v>
      </c>
      <c r="H98" s="9">
        <f>[1]План!H130+[1]План!H138+[1]План!H178</f>
        <v>0</v>
      </c>
      <c r="I98" s="9">
        <f>[1]План!I130+[1]План!I138+[1]План!I178</f>
        <v>0</v>
      </c>
      <c r="J98" s="756"/>
      <c r="K98" s="764"/>
    </row>
    <row r="99" spans="1:11" s="2" customFormat="1" ht="24.95" customHeight="1">
      <c r="A99" s="762"/>
      <c r="B99" s="760"/>
      <c r="C99" s="755"/>
      <c r="D99" s="55">
        <v>2019</v>
      </c>
      <c r="E99" s="8">
        <f t="shared" si="11"/>
        <v>74435.3</v>
      </c>
      <c r="F99" s="9">
        <v>74435.3</v>
      </c>
      <c r="G99" s="9">
        <f>[1]План!G131+[1]План!G139+[1]План!G179</f>
        <v>0</v>
      </c>
      <c r="H99" s="9">
        <f>[1]План!H131+[1]План!H139+[1]План!H179</f>
        <v>0</v>
      </c>
      <c r="I99" s="9">
        <f>[1]План!I131+[1]План!I139+[1]План!I179</f>
        <v>0</v>
      </c>
      <c r="J99" s="756"/>
      <c r="K99" s="764"/>
    </row>
    <row r="100" spans="1:11" s="2" customFormat="1" ht="24.95" customHeight="1">
      <c r="A100" s="762"/>
      <c r="B100" s="760"/>
      <c r="C100" s="755"/>
      <c r="D100" s="55">
        <v>2020</v>
      </c>
      <c r="E100" s="8">
        <f>SUM(F100:I100)</f>
        <v>75390.7</v>
      </c>
      <c r="F100" s="9">
        <v>75390.7</v>
      </c>
      <c r="G100" s="9">
        <f>[1]План!G132+[1]План!G140+[1]План!G180</f>
        <v>0</v>
      </c>
      <c r="H100" s="9">
        <f>[1]План!H132+[1]План!H140+[1]План!H180</f>
        <v>0</v>
      </c>
      <c r="I100" s="9">
        <f>[1]План!I132+[1]План!I140+[1]План!I180</f>
        <v>0</v>
      </c>
      <c r="J100" s="756"/>
      <c r="K100" s="764"/>
    </row>
    <row r="101" spans="1:11" s="2" customFormat="1" ht="15" customHeight="1">
      <c r="A101" s="753" t="s">
        <v>197</v>
      </c>
      <c r="B101" s="754" t="s">
        <v>48</v>
      </c>
      <c r="C101" s="755" t="s">
        <v>14</v>
      </c>
      <c r="D101" s="55" t="s">
        <v>8</v>
      </c>
      <c r="E101" s="8">
        <f t="shared" si="11"/>
        <v>67298.399999999994</v>
      </c>
      <c r="F101" s="8">
        <f>SUM(F102:F106)</f>
        <v>67298.399999999994</v>
      </c>
      <c r="G101" s="8">
        <f>SUM(G102:G106)</f>
        <v>0</v>
      </c>
      <c r="H101" s="8">
        <f>SUM(H102:H106)</f>
        <v>0</v>
      </c>
      <c r="I101" s="8">
        <f>SUM(I102:I106)</f>
        <v>0</v>
      </c>
      <c r="J101" s="756" t="s">
        <v>49</v>
      </c>
      <c r="K101" s="757" t="s">
        <v>280</v>
      </c>
    </row>
    <row r="102" spans="1:11" s="2" customFormat="1">
      <c r="A102" s="753"/>
      <c r="B102" s="754"/>
      <c r="C102" s="755"/>
      <c r="D102" s="55">
        <v>2016</v>
      </c>
      <c r="E102" s="8">
        <f t="shared" si="11"/>
        <v>12699.3</v>
      </c>
      <c r="F102" s="8">
        <v>12699.3</v>
      </c>
      <c r="G102" s="9">
        <v>0</v>
      </c>
      <c r="H102" s="9">
        <v>0</v>
      </c>
      <c r="I102" s="9">
        <v>0</v>
      </c>
      <c r="J102" s="756"/>
      <c r="K102" s="757"/>
    </row>
    <row r="103" spans="1:11" s="2" customFormat="1">
      <c r="A103" s="753"/>
      <c r="B103" s="754"/>
      <c r="C103" s="755"/>
      <c r="D103" s="55">
        <v>2017</v>
      </c>
      <c r="E103" s="8">
        <f t="shared" si="11"/>
        <v>12699.3</v>
      </c>
      <c r="F103" s="8">
        <v>12699.3</v>
      </c>
      <c r="G103" s="9">
        <v>0</v>
      </c>
      <c r="H103" s="9">
        <v>0</v>
      </c>
      <c r="I103" s="9">
        <v>0</v>
      </c>
      <c r="J103" s="756"/>
      <c r="K103" s="757"/>
    </row>
    <row r="104" spans="1:11" s="2" customFormat="1">
      <c r="A104" s="753"/>
      <c r="B104" s="754"/>
      <c r="C104" s="755"/>
      <c r="D104" s="55">
        <v>2018</v>
      </c>
      <c r="E104" s="8">
        <f t="shared" si="11"/>
        <v>13966.6</v>
      </c>
      <c r="F104" s="8">
        <v>13966.6</v>
      </c>
      <c r="G104" s="9">
        <v>0</v>
      </c>
      <c r="H104" s="9">
        <v>0</v>
      </c>
      <c r="I104" s="9">
        <v>0</v>
      </c>
      <c r="J104" s="756"/>
      <c r="K104" s="757"/>
    </row>
    <row r="105" spans="1:11" s="2" customFormat="1">
      <c r="A105" s="753"/>
      <c r="B105" s="754"/>
      <c r="C105" s="755"/>
      <c r="D105" s="55">
        <v>2019</v>
      </c>
      <c r="E105" s="8">
        <f t="shared" si="11"/>
        <v>13966.6</v>
      </c>
      <c r="F105" s="8">
        <v>13966.6</v>
      </c>
      <c r="G105" s="9">
        <v>0</v>
      </c>
      <c r="H105" s="9">
        <v>0</v>
      </c>
      <c r="I105" s="9">
        <v>0</v>
      </c>
      <c r="J105" s="756"/>
      <c r="K105" s="757"/>
    </row>
    <row r="106" spans="1:11" s="2" customFormat="1">
      <c r="A106" s="753"/>
      <c r="B106" s="754"/>
      <c r="C106" s="755"/>
      <c r="D106" s="55">
        <v>2020</v>
      </c>
      <c r="E106" s="8">
        <f t="shared" ref="E106:E112" si="12">SUM(F106:I106)</f>
        <v>13966.6</v>
      </c>
      <c r="F106" s="8">
        <v>13966.6</v>
      </c>
      <c r="G106" s="9">
        <v>0</v>
      </c>
      <c r="H106" s="9">
        <v>0</v>
      </c>
      <c r="I106" s="9">
        <v>0</v>
      </c>
      <c r="J106" s="756"/>
      <c r="K106" s="757"/>
    </row>
    <row r="107" spans="1:11" s="2" customFormat="1" ht="13.5" customHeight="1">
      <c r="A107" s="753" t="s">
        <v>198</v>
      </c>
      <c r="B107" s="760" t="s">
        <v>50</v>
      </c>
      <c r="C107" s="755" t="s">
        <v>14</v>
      </c>
      <c r="D107" s="57" t="s">
        <v>8</v>
      </c>
      <c r="E107" s="8">
        <f t="shared" si="12"/>
        <v>2665.5</v>
      </c>
      <c r="F107" s="8">
        <f>SUM(F108:F112)</f>
        <v>2665.5</v>
      </c>
      <c r="G107" s="8">
        <f>SUM(G108:G112)</f>
        <v>0</v>
      </c>
      <c r="H107" s="8">
        <f>SUM(H108:H112)</f>
        <v>0</v>
      </c>
      <c r="I107" s="8">
        <f>SUM(I108:I112)</f>
        <v>0</v>
      </c>
      <c r="J107" s="756" t="s">
        <v>51</v>
      </c>
      <c r="K107" s="757" t="s">
        <v>26</v>
      </c>
    </row>
    <row r="108" spans="1:11" s="2" customFormat="1" ht="13.5" customHeight="1">
      <c r="A108" s="753"/>
      <c r="B108" s="760"/>
      <c r="C108" s="755"/>
      <c r="D108" s="57">
        <v>2016</v>
      </c>
      <c r="E108" s="8">
        <f t="shared" si="12"/>
        <v>533.1</v>
      </c>
      <c r="F108" s="9">
        <v>533.1</v>
      </c>
      <c r="G108" s="9">
        <v>0</v>
      </c>
      <c r="H108" s="9">
        <v>0</v>
      </c>
      <c r="I108" s="9">
        <v>0</v>
      </c>
      <c r="J108" s="756"/>
      <c r="K108" s="757"/>
    </row>
    <row r="109" spans="1:11" s="2" customFormat="1" ht="13.5" customHeight="1">
      <c r="A109" s="753"/>
      <c r="B109" s="760"/>
      <c r="C109" s="755"/>
      <c r="D109" s="57">
        <v>2017</v>
      </c>
      <c r="E109" s="8">
        <f t="shared" si="12"/>
        <v>533.1</v>
      </c>
      <c r="F109" s="9">
        <v>533.1</v>
      </c>
      <c r="G109" s="9">
        <v>0</v>
      </c>
      <c r="H109" s="9">
        <v>0</v>
      </c>
      <c r="I109" s="9">
        <v>0</v>
      </c>
      <c r="J109" s="756"/>
      <c r="K109" s="757"/>
    </row>
    <row r="110" spans="1:11" s="2" customFormat="1" ht="13.5" customHeight="1">
      <c r="A110" s="753"/>
      <c r="B110" s="760"/>
      <c r="C110" s="755"/>
      <c r="D110" s="57">
        <v>2018</v>
      </c>
      <c r="E110" s="8">
        <f t="shared" si="12"/>
        <v>533.1</v>
      </c>
      <c r="F110" s="9">
        <v>533.1</v>
      </c>
      <c r="G110" s="9">
        <v>0</v>
      </c>
      <c r="H110" s="9">
        <v>0</v>
      </c>
      <c r="I110" s="9">
        <v>0</v>
      </c>
      <c r="J110" s="756"/>
      <c r="K110" s="757"/>
    </row>
    <row r="111" spans="1:11" s="2" customFormat="1" ht="13.5" customHeight="1">
      <c r="A111" s="753"/>
      <c r="B111" s="760"/>
      <c r="C111" s="755"/>
      <c r="D111" s="57">
        <v>2019</v>
      </c>
      <c r="E111" s="8">
        <f t="shared" si="12"/>
        <v>533.1</v>
      </c>
      <c r="F111" s="9">
        <v>533.1</v>
      </c>
      <c r="G111" s="9">
        <v>0</v>
      </c>
      <c r="H111" s="9">
        <v>0</v>
      </c>
      <c r="I111" s="9">
        <v>0</v>
      </c>
      <c r="J111" s="756"/>
      <c r="K111" s="757"/>
    </row>
    <row r="112" spans="1:11" s="2" customFormat="1" ht="13.5" customHeight="1">
      <c r="A112" s="753"/>
      <c r="B112" s="760"/>
      <c r="C112" s="755"/>
      <c r="D112" s="57">
        <v>2020</v>
      </c>
      <c r="E112" s="8">
        <f t="shared" si="12"/>
        <v>533.1</v>
      </c>
      <c r="F112" s="9">
        <v>533.1</v>
      </c>
      <c r="G112" s="9">
        <v>0</v>
      </c>
      <c r="H112" s="9">
        <v>0</v>
      </c>
      <c r="I112" s="9">
        <v>0</v>
      </c>
      <c r="J112" s="756"/>
      <c r="K112" s="757"/>
    </row>
    <row r="113" spans="1:11" s="2" customFormat="1" ht="15" customHeight="1">
      <c r="A113" s="753" t="s">
        <v>199</v>
      </c>
      <c r="B113" s="760" t="s">
        <v>52</v>
      </c>
      <c r="C113" s="755" t="s">
        <v>14</v>
      </c>
      <c r="D113" s="55" t="s">
        <v>199</v>
      </c>
      <c r="E113" s="8">
        <f t="shared" ref="E113:E118" si="13">SUM(F113:I113)</f>
        <v>150</v>
      </c>
      <c r="F113" s="8">
        <f>SUM(F114:F118)</f>
        <v>150</v>
      </c>
      <c r="G113" s="8">
        <f>SUM(G114:G118)</f>
        <v>0</v>
      </c>
      <c r="H113" s="8">
        <f>SUM(H114:H118)</f>
        <v>0</v>
      </c>
      <c r="I113" s="8">
        <f>SUM(I114:I118)</f>
        <v>0</v>
      </c>
      <c r="J113" s="756" t="s">
        <v>53</v>
      </c>
      <c r="K113" s="757" t="s">
        <v>26</v>
      </c>
    </row>
    <row r="114" spans="1:11" s="2" customFormat="1">
      <c r="A114" s="753"/>
      <c r="B114" s="760"/>
      <c r="C114" s="755"/>
      <c r="D114" s="55">
        <v>2016</v>
      </c>
      <c r="E114" s="8">
        <f t="shared" si="13"/>
        <v>30</v>
      </c>
      <c r="F114" s="8">
        <v>30</v>
      </c>
      <c r="G114" s="9">
        <v>0</v>
      </c>
      <c r="H114" s="9">
        <v>0</v>
      </c>
      <c r="I114" s="9">
        <v>0</v>
      </c>
      <c r="J114" s="756"/>
      <c r="K114" s="757"/>
    </row>
    <row r="115" spans="1:11" s="2" customFormat="1">
      <c r="A115" s="753"/>
      <c r="B115" s="760"/>
      <c r="C115" s="755"/>
      <c r="D115" s="55">
        <v>2017</v>
      </c>
      <c r="E115" s="8">
        <f t="shared" si="13"/>
        <v>30</v>
      </c>
      <c r="F115" s="8">
        <v>30</v>
      </c>
      <c r="G115" s="9">
        <v>0</v>
      </c>
      <c r="H115" s="9">
        <v>0</v>
      </c>
      <c r="I115" s="9">
        <v>0</v>
      </c>
      <c r="J115" s="756"/>
      <c r="K115" s="757"/>
    </row>
    <row r="116" spans="1:11" s="2" customFormat="1">
      <c r="A116" s="753"/>
      <c r="B116" s="760"/>
      <c r="C116" s="755"/>
      <c r="D116" s="55">
        <v>2018</v>
      </c>
      <c r="E116" s="8">
        <f t="shared" si="13"/>
        <v>30</v>
      </c>
      <c r="F116" s="8">
        <v>30</v>
      </c>
      <c r="G116" s="9">
        <v>0</v>
      </c>
      <c r="H116" s="9">
        <v>0</v>
      </c>
      <c r="I116" s="9">
        <v>0</v>
      </c>
      <c r="J116" s="756"/>
      <c r="K116" s="757"/>
    </row>
    <row r="117" spans="1:11" s="2" customFormat="1">
      <c r="A117" s="753"/>
      <c r="B117" s="760"/>
      <c r="C117" s="755"/>
      <c r="D117" s="55">
        <v>2019</v>
      </c>
      <c r="E117" s="8">
        <f t="shared" si="13"/>
        <v>30</v>
      </c>
      <c r="F117" s="8">
        <v>30</v>
      </c>
      <c r="G117" s="9">
        <v>0</v>
      </c>
      <c r="H117" s="9">
        <v>0</v>
      </c>
      <c r="I117" s="9">
        <v>0</v>
      </c>
      <c r="J117" s="756"/>
      <c r="K117" s="757"/>
    </row>
    <row r="118" spans="1:11" s="2" customFormat="1">
      <c r="A118" s="753"/>
      <c r="B118" s="760"/>
      <c r="C118" s="755"/>
      <c r="D118" s="55">
        <v>2020</v>
      </c>
      <c r="E118" s="8">
        <f t="shared" si="13"/>
        <v>30</v>
      </c>
      <c r="F118" s="8">
        <v>30</v>
      </c>
      <c r="G118" s="9">
        <v>0</v>
      </c>
      <c r="H118" s="9">
        <v>0</v>
      </c>
      <c r="I118" s="9">
        <v>0</v>
      </c>
      <c r="J118" s="756"/>
      <c r="K118" s="757"/>
    </row>
    <row r="119" spans="1:11" s="2" customFormat="1" ht="15" customHeight="1">
      <c r="A119" s="753" t="s">
        <v>200</v>
      </c>
      <c r="B119" s="754" t="s">
        <v>54</v>
      </c>
      <c r="C119" s="755">
        <v>2016</v>
      </c>
      <c r="D119" s="57" t="s">
        <v>8</v>
      </c>
      <c r="E119" s="8">
        <f t="shared" ref="E119:E141" si="14">SUM(F119:I119)</f>
        <v>200</v>
      </c>
      <c r="F119" s="8">
        <f>SUM(F120:F124)</f>
        <v>200</v>
      </c>
      <c r="G119" s="8">
        <f>SUM(G120:G124)</f>
        <v>0</v>
      </c>
      <c r="H119" s="8">
        <f>SUM(H120:H124)</f>
        <v>0</v>
      </c>
      <c r="I119" s="8">
        <f>SUM(I120:I124)</f>
        <v>0</v>
      </c>
      <c r="J119" s="756" t="s">
        <v>201</v>
      </c>
      <c r="K119" s="757" t="s">
        <v>26</v>
      </c>
    </row>
    <row r="120" spans="1:11" s="2" customFormat="1">
      <c r="A120" s="753"/>
      <c r="B120" s="754"/>
      <c r="C120" s="755"/>
      <c r="D120" s="57">
        <v>2016</v>
      </c>
      <c r="E120" s="8">
        <f t="shared" si="14"/>
        <v>200</v>
      </c>
      <c r="F120" s="8">
        <v>200</v>
      </c>
      <c r="G120" s="9">
        <v>0</v>
      </c>
      <c r="H120" s="9">
        <v>0</v>
      </c>
      <c r="I120" s="9">
        <v>0</v>
      </c>
      <c r="J120" s="756"/>
      <c r="K120" s="757"/>
    </row>
    <row r="121" spans="1:11" s="2" customFormat="1">
      <c r="A121" s="753"/>
      <c r="B121" s="754"/>
      <c r="C121" s="755"/>
      <c r="D121" s="57">
        <v>2017</v>
      </c>
      <c r="E121" s="8">
        <f t="shared" si="14"/>
        <v>0</v>
      </c>
      <c r="F121" s="8">
        <v>0</v>
      </c>
      <c r="G121" s="9">
        <v>0</v>
      </c>
      <c r="H121" s="9">
        <v>0</v>
      </c>
      <c r="I121" s="9">
        <v>0</v>
      </c>
      <c r="J121" s="756"/>
      <c r="K121" s="757"/>
    </row>
    <row r="122" spans="1:11" s="2" customFormat="1">
      <c r="A122" s="753"/>
      <c r="B122" s="754"/>
      <c r="C122" s="755"/>
      <c r="D122" s="57">
        <v>2018</v>
      </c>
      <c r="E122" s="8">
        <f t="shared" si="14"/>
        <v>0</v>
      </c>
      <c r="F122" s="8">
        <v>0</v>
      </c>
      <c r="G122" s="9">
        <v>0</v>
      </c>
      <c r="H122" s="9">
        <v>0</v>
      </c>
      <c r="I122" s="9">
        <v>0</v>
      </c>
      <c r="J122" s="756"/>
      <c r="K122" s="757"/>
    </row>
    <row r="123" spans="1:11" s="2" customFormat="1">
      <c r="A123" s="753"/>
      <c r="B123" s="754"/>
      <c r="C123" s="755"/>
      <c r="D123" s="57">
        <v>2019</v>
      </c>
      <c r="E123" s="8">
        <f t="shared" si="14"/>
        <v>0</v>
      </c>
      <c r="F123" s="8">
        <v>0</v>
      </c>
      <c r="G123" s="9">
        <v>0</v>
      </c>
      <c r="H123" s="9">
        <v>0</v>
      </c>
      <c r="I123" s="9">
        <v>0</v>
      </c>
      <c r="J123" s="756"/>
      <c r="K123" s="757"/>
    </row>
    <row r="124" spans="1:11" s="2" customFormat="1">
      <c r="A124" s="753"/>
      <c r="B124" s="754"/>
      <c r="C124" s="755"/>
      <c r="D124" s="57">
        <v>2020</v>
      </c>
      <c r="E124" s="8">
        <f t="shared" si="14"/>
        <v>0</v>
      </c>
      <c r="F124" s="8">
        <v>0</v>
      </c>
      <c r="G124" s="9">
        <v>0</v>
      </c>
      <c r="H124" s="9">
        <v>0</v>
      </c>
      <c r="I124" s="9">
        <v>0</v>
      </c>
      <c r="J124" s="756"/>
      <c r="K124" s="757"/>
    </row>
    <row r="125" spans="1:11" s="2" customFormat="1" ht="13.5" customHeight="1">
      <c r="A125" s="763" t="s">
        <v>202</v>
      </c>
      <c r="B125" s="754" t="s">
        <v>55</v>
      </c>
      <c r="C125" s="755" t="s">
        <v>14</v>
      </c>
      <c r="D125" s="55" t="s">
        <v>8</v>
      </c>
      <c r="E125" s="8">
        <f t="shared" si="14"/>
        <v>108562.5</v>
      </c>
      <c r="F125" s="8">
        <f>SUM(F126:F130)</f>
        <v>108562.5</v>
      </c>
      <c r="G125" s="8">
        <f>SUM(G126:G130)</f>
        <v>0</v>
      </c>
      <c r="H125" s="8">
        <f>SUM(H126:H130)</f>
        <v>0</v>
      </c>
      <c r="I125" s="8">
        <f>SUM(I126:I130)</f>
        <v>0</v>
      </c>
      <c r="J125" s="756" t="s">
        <v>281</v>
      </c>
      <c r="K125" s="757" t="s">
        <v>26</v>
      </c>
    </row>
    <row r="126" spans="1:11" s="2" customFormat="1" ht="13.5" customHeight="1">
      <c r="A126" s="763"/>
      <c r="B126" s="754"/>
      <c r="C126" s="755"/>
      <c r="D126" s="55">
        <v>2016</v>
      </c>
      <c r="E126" s="8">
        <f t="shared" si="14"/>
        <v>20912.5</v>
      </c>
      <c r="F126" s="8">
        <v>20912.5</v>
      </c>
      <c r="G126" s="9">
        <v>0</v>
      </c>
      <c r="H126" s="9">
        <v>0</v>
      </c>
      <c r="I126" s="9">
        <v>0</v>
      </c>
      <c r="J126" s="756"/>
      <c r="K126" s="757"/>
    </row>
    <row r="127" spans="1:11" s="2" customFormat="1" ht="13.5" customHeight="1">
      <c r="A127" s="763"/>
      <c r="B127" s="754"/>
      <c r="C127" s="755"/>
      <c r="D127" s="55">
        <v>2017</v>
      </c>
      <c r="E127" s="8">
        <f>SUM(F127:I127)</f>
        <v>21912.5</v>
      </c>
      <c r="F127" s="8">
        <v>21912.5</v>
      </c>
      <c r="G127" s="9">
        <v>0</v>
      </c>
      <c r="H127" s="9">
        <v>0</v>
      </c>
      <c r="I127" s="9">
        <v>0</v>
      </c>
      <c r="J127" s="756"/>
      <c r="K127" s="757"/>
    </row>
    <row r="128" spans="1:11" s="2" customFormat="1" ht="13.5" customHeight="1">
      <c r="A128" s="763"/>
      <c r="B128" s="754"/>
      <c r="C128" s="755"/>
      <c r="D128" s="55">
        <v>2018</v>
      </c>
      <c r="E128" s="8">
        <f t="shared" si="14"/>
        <v>21912.5</v>
      </c>
      <c r="F128" s="8">
        <v>21912.5</v>
      </c>
      <c r="G128" s="9">
        <v>0</v>
      </c>
      <c r="H128" s="9">
        <v>0</v>
      </c>
      <c r="I128" s="9">
        <v>0</v>
      </c>
      <c r="J128" s="756"/>
      <c r="K128" s="757"/>
    </row>
    <row r="129" spans="1:11" s="2" customFormat="1" ht="13.5" customHeight="1">
      <c r="A129" s="763"/>
      <c r="B129" s="754"/>
      <c r="C129" s="755"/>
      <c r="D129" s="55">
        <v>2019</v>
      </c>
      <c r="E129" s="8">
        <f>SUM(F129:I129)</f>
        <v>21912.5</v>
      </c>
      <c r="F129" s="8">
        <v>21912.5</v>
      </c>
      <c r="G129" s="9">
        <v>0</v>
      </c>
      <c r="H129" s="9">
        <v>0</v>
      </c>
      <c r="I129" s="9">
        <v>0</v>
      </c>
      <c r="J129" s="756"/>
      <c r="K129" s="757"/>
    </row>
    <row r="130" spans="1:11" s="2" customFormat="1" ht="13.5" customHeight="1">
      <c r="A130" s="763"/>
      <c r="B130" s="754"/>
      <c r="C130" s="755"/>
      <c r="D130" s="55">
        <v>2020</v>
      </c>
      <c r="E130" s="8">
        <f>SUM(F130:I130)</f>
        <v>21912.5</v>
      </c>
      <c r="F130" s="8">
        <v>21912.5</v>
      </c>
      <c r="G130" s="9">
        <v>0</v>
      </c>
      <c r="H130" s="9">
        <v>0</v>
      </c>
      <c r="I130" s="9">
        <v>0</v>
      </c>
      <c r="J130" s="756"/>
      <c r="K130" s="757"/>
    </row>
    <row r="131" spans="1:11" s="2" customFormat="1" ht="15" customHeight="1">
      <c r="A131" s="753" t="s">
        <v>204</v>
      </c>
      <c r="B131" s="754" t="s">
        <v>56</v>
      </c>
      <c r="C131" s="755" t="s">
        <v>14</v>
      </c>
      <c r="D131" s="57" t="s">
        <v>8</v>
      </c>
      <c r="E131" s="8">
        <f t="shared" si="14"/>
        <v>5391</v>
      </c>
      <c r="F131" s="8">
        <f>SUM(F132:F136)</f>
        <v>5391</v>
      </c>
      <c r="G131" s="8">
        <f>SUM(G132:G136)</f>
        <v>0</v>
      </c>
      <c r="H131" s="8">
        <f>SUM(H132:H136)</f>
        <v>0</v>
      </c>
      <c r="I131" s="8">
        <f>SUM(I132:I136)</f>
        <v>0</v>
      </c>
      <c r="J131" s="756" t="s">
        <v>57</v>
      </c>
      <c r="K131" s="757" t="s">
        <v>26</v>
      </c>
    </row>
    <row r="132" spans="1:11" s="2" customFormat="1">
      <c r="A132" s="753"/>
      <c r="B132" s="754"/>
      <c r="C132" s="755"/>
      <c r="D132" s="57">
        <v>2016</v>
      </c>
      <c r="E132" s="8">
        <f t="shared" si="14"/>
        <v>1084</v>
      </c>
      <c r="F132" s="8">
        <v>1084</v>
      </c>
      <c r="G132" s="9">
        <v>0</v>
      </c>
      <c r="H132" s="9">
        <v>0</v>
      </c>
      <c r="I132" s="9">
        <v>0</v>
      </c>
      <c r="J132" s="756"/>
      <c r="K132" s="757"/>
    </row>
    <row r="133" spans="1:11" s="2" customFormat="1">
      <c r="A133" s="753"/>
      <c r="B133" s="754"/>
      <c r="C133" s="755"/>
      <c r="D133" s="57">
        <v>2017</v>
      </c>
      <c r="E133" s="8">
        <f>SUM(F133:I133)</f>
        <v>1055</v>
      </c>
      <c r="F133" s="8">
        <v>1055</v>
      </c>
      <c r="G133" s="9">
        <v>0</v>
      </c>
      <c r="H133" s="9">
        <v>0</v>
      </c>
      <c r="I133" s="9">
        <v>0</v>
      </c>
      <c r="J133" s="756"/>
      <c r="K133" s="757"/>
    </row>
    <row r="134" spans="1:11" s="2" customFormat="1">
      <c r="A134" s="753"/>
      <c r="B134" s="754"/>
      <c r="C134" s="755"/>
      <c r="D134" s="57">
        <v>2018</v>
      </c>
      <c r="E134" s="8">
        <f t="shared" si="14"/>
        <v>1084</v>
      </c>
      <c r="F134" s="8">
        <v>1084</v>
      </c>
      <c r="G134" s="9">
        <v>0</v>
      </c>
      <c r="H134" s="9">
        <v>0</v>
      </c>
      <c r="I134" s="9">
        <v>0</v>
      </c>
      <c r="J134" s="756"/>
      <c r="K134" s="757"/>
    </row>
    <row r="135" spans="1:11" s="2" customFormat="1">
      <c r="A135" s="753"/>
      <c r="B135" s="754"/>
      <c r="C135" s="755"/>
      <c r="D135" s="57">
        <v>2019</v>
      </c>
      <c r="E135" s="8">
        <f t="shared" si="14"/>
        <v>1084</v>
      </c>
      <c r="F135" s="8">
        <v>1084</v>
      </c>
      <c r="G135" s="9">
        <v>0</v>
      </c>
      <c r="H135" s="9">
        <v>0</v>
      </c>
      <c r="I135" s="9">
        <v>0</v>
      </c>
      <c r="J135" s="756"/>
      <c r="K135" s="757"/>
    </row>
    <row r="136" spans="1:11" s="2" customFormat="1">
      <c r="A136" s="753"/>
      <c r="B136" s="754"/>
      <c r="C136" s="755"/>
      <c r="D136" s="57">
        <v>2020</v>
      </c>
      <c r="E136" s="8">
        <f>SUM(F136:I136)</f>
        <v>1084</v>
      </c>
      <c r="F136" s="8">
        <v>1084</v>
      </c>
      <c r="G136" s="9">
        <v>0</v>
      </c>
      <c r="H136" s="9">
        <v>0</v>
      </c>
      <c r="I136" s="9">
        <v>0</v>
      </c>
      <c r="J136" s="756"/>
      <c r="K136" s="757"/>
    </row>
    <row r="137" spans="1:11" s="2" customFormat="1" ht="15" customHeight="1">
      <c r="A137" s="753" t="s">
        <v>205</v>
      </c>
      <c r="B137" s="754" t="s">
        <v>153</v>
      </c>
      <c r="C137" s="755" t="s">
        <v>195</v>
      </c>
      <c r="D137" s="55" t="s">
        <v>8</v>
      </c>
      <c r="E137" s="8">
        <f t="shared" si="14"/>
        <v>128.4</v>
      </c>
      <c r="F137" s="8">
        <f>SUM(F138:F142)</f>
        <v>128.4</v>
      </c>
      <c r="G137" s="8">
        <f>SUM(G138:G142)</f>
        <v>0</v>
      </c>
      <c r="H137" s="8">
        <f>SUM(H138:H142)</f>
        <v>0</v>
      </c>
      <c r="I137" s="8">
        <f>SUM(I138:I142)</f>
        <v>0</v>
      </c>
      <c r="J137" s="756" t="s">
        <v>282</v>
      </c>
      <c r="K137" s="757" t="s">
        <v>283</v>
      </c>
    </row>
    <row r="138" spans="1:11" s="2" customFormat="1">
      <c r="A138" s="753"/>
      <c r="B138" s="754"/>
      <c r="C138" s="755"/>
      <c r="D138" s="55">
        <v>2016</v>
      </c>
      <c r="E138" s="8">
        <f t="shared" si="14"/>
        <v>0</v>
      </c>
      <c r="F138" s="8">
        <v>0</v>
      </c>
      <c r="G138" s="9">
        <v>0</v>
      </c>
      <c r="H138" s="9">
        <v>0</v>
      </c>
      <c r="I138" s="9">
        <v>0</v>
      </c>
      <c r="J138" s="756"/>
      <c r="K138" s="757"/>
    </row>
    <row r="139" spans="1:11" s="2" customFormat="1">
      <c r="A139" s="753"/>
      <c r="B139" s="754"/>
      <c r="C139" s="755"/>
      <c r="D139" s="55">
        <v>2017</v>
      </c>
      <c r="E139" s="8">
        <f t="shared" si="14"/>
        <v>32.1</v>
      </c>
      <c r="F139" s="8">
        <v>32.1</v>
      </c>
      <c r="G139" s="9">
        <v>0</v>
      </c>
      <c r="H139" s="9">
        <v>0</v>
      </c>
      <c r="I139" s="9">
        <v>0</v>
      </c>
      <c r="J139" s="756"/>
      <c r="K139" s="757"/>
    </row>
    <row r="140" spans="1:11" s="2" customFormat="1">
      <c r="A140" s="753"/>
      <c r="B140" s="754"/>
      <c r="C140" s="755"/>
      <c r="D140" s="55">
        <v>2018</v>
      </c>
      <c r="E140" s="8">
        <f t="shared" si="14"/>
        <v>32.1</v>
      </c>
      <c r="F140" s="8">
        <v>32.1</v>
      </c>
      <c r="G140" s="9">
        <v>0</v>
      </c>
      <c r="H140" s="9">
        <v>0</v>
      </c>
      <c r="I140" s="9">
        <v>0</v>
      </c>
      <c r="J140" s="756"/>
      <c r="K140" s="757"/>
    </row>
    <row r="141" spans="1:11" s="2" customFormat="1">
      <c r="A141" s="753"/>
      <c r="B141" s="754"/>
      <c r="C141" s="755"/>
      <c r="D141" s="55">
        <v>2019</v>
      </c>
      <c r="E141" s="8">
        <f t="shared" si="14"/>
        <v>32.1</v>
      </c>
      <c r="F141" s="8">
        <v>32.1</v>
      </c>
      <c r="G141" s="9">
        <v>0</v>
      </c>
      <c r="H141" s="9">
        <v>0</v>
      </c>
      <c r="I141" s="9">
        <v>0</v>
      </c>
      <c r="J141" s="756"/>
      <c r="K141" s="757"/>
    </row>
    <row r="142" spans="1:11" s="2" customFormat="1">
      <c r="A142" s="753"/>
      <c r="B142" s="754"/>
      <c r="C142" s="755"/>
      <c r="D142" s="55">
        <v>2019</v>
      </c>
      <c r="E142" s="8">
        <f>SUM(F142:I142)</f>
        <v>32.1</v>
      </c>
      <c r="F142" s="8">
        <v>32.1</v>
      </c>
      <c r="G142" s="9">
        <v>0</v>
      </c>
      <c r="H142" s="9">
        <v>0</v>
      </c>
      <c r="I142" s="9">
        <v>0</v>
      </c>
      <c r="J142" s="756"/>
      <c r="K142" s="757"/>
    </row>
    <row r="143" spans="1:11" s="2" customFormat="1" ht="15" hidden="1" customHeight="1">
      <c r="A143" s="753" t="s">
        <v>206</v>
      </c>
      <c r="B143" s="754" t="s">
        <v>207</v>
      </c>
      <c r="C143" s="755">
        <v>2018</v>
      </c>
      <c r="D143" s="55" t="s">
        <v>8</v>
      </c>
      <c r="E143" s="8">
        <f>SUM(F143:I143)</f>
        <v>0</v>
      </c>
      <c r="F143" s="8">
        <f>SUM(F144:F148)</f>
        <v>0</v>
      </c>
      <c r="G143" s="8">
        <f>SUM(G144:G148)</f>
        <v>0</v>
      </c>
      <c r="H143" s="8">
        <f>SUM(H144:H148)</f>
        <v>0</v>
      </c>
      <c r="I143" s="8">
        <f>SUM(I144:I148)</f>
        <v>0</v>
      </c>
      <c r="J143" s="756"/>
      <c r="K143" s="757"/>
    </row>
    <row r="144" spans="1:11" s="2" customFormat="1" hidden="1">
      <c r="A144" s="753"/>
      <c r="B144" s="754"/>
      <c r="C144" s="755"/>
      <c r="D144" s="55">
        <v>2016</v>
      </c>
      <c r="E144" s="8">
        <f>SUM(F144:I144)</f>
        <v>0</v>
      </c>
      <c r="F144" s="8">
        <v>0</v>
      </c>
      <c r="G144" s="9">
        <v>0</v>
      </c>
      <c r="H144" s="9">
        <v>0</v>
      </c>
      <c r="I144" s="9">
        <v>0</v>
      </c>
      <c r="J144" s="756"/>
      <c r="K144" s="757"/>
    </row>
    <row r="145" spans="1:11" s="2" customFormat="1" hidden="1">
      <c r="A145" s="753"/>
      <c r="B145" s="754"/>
      <c r="C145" s="755"/>
      <c r="D145" s="55">
        <v>2017</v>
      </c>
      <c r="E145" s="8">
        <v>0</v>
      </c>
      <c r="F145" s="8">
        <v>0</v>
      </c>
      <c r="G145" s="9">
        <v>0</v>
      </c>
      <c r="H145" s="9">
        <v>0</v>
      </c>
      <c r="I145" s="9">
        <v>0</v>
      </c>
      <c r="J145" s="756"/>
      <c r="K145" s="757"/>
    </row>
    <row r="146" spans="1:11" s="2" customFormat="1" hidden="1">
      <c r="A146" s="753"/>
      <c r="B146" s="754"/>
      <c r="C146" s="755"/>
      <c r="D146" s="58">
        <v>2018</v>
      </c>
      <c r="E146" s="59">
        <f>SUM(F146:I146)</f>
        <v>0</v>
      </c>
      <c r="F146" s="59">
        <v>0</v>
      </c>
      <c r="G146" s="9">
        <v>0</v>
      </c>
      <c r="H146" s="9">
        <v>0</v>
      </c>
      <c r="I146" s="9">
        <v>0</v>
      </c>
      <c r="J146" s="756"/>
      <c r="K146" s="757"/>
    </row>
    <row r="147" spans="1:11" s="2" customFormat="1" hidden="1">
      <c r="A147" s="753"/>
      <c r="B147" s="754"/>
      <c r="C147" s="755"/>
      <c r="D147" s="55">
        <v>2019</v>
      </c>
      <c r="E147" s="8">
        <f>SUM(F147:I147)</f>
        <v>0</v>
      </c>
      <c r="F147" s="8">
        <v>0</v>
      </c>
      <c r="G147" s="9">
        <v>0</v>
      </c>
      <c r="H147" s="9">
        <v>0</v>
      </c>
      <c r="I147" s="9">
        <v>0</v>
      </c>
      <c r="J147" s="756"/>
      <c r="K147" s="757"/>
    </row>
    <row r="148" spans="1:11" s="2" customFormat="1" hidden="1">
      <c r="A148" s="753"/>
      <c r="B148" s="754"/>
      <c r="C148" s="755"/>
      <c r="D148" s="55">
        <v>2020</v>
      </c>
      <c r="E148" s="8">
        <f>SUM(F148:I148)</f>
        <v>0</v>
      </c>
      <c r="F148" s="8">
        <v>0</v>
      </c>
      <c r="G148" s="9">
        <v>0</v>
      </c>
      <c r="H148" s="9">
        <v>0</v>
      </c>
      <c r="I148" s="9">
        <v>0</v>
      </c>
      <c r="J148" s="756"/>
      <c r="K148" s="757"/>
    </row>
    <row r="149" spans="1:11" s="2" customFormat="1" ht="15" customHeight="1">
      <c r="A149" s="753" t="s">
        <v>274</v>
      </c>
      <c r="B149" s="754" t="s">
        <v>284</v>
      </c>
      <c r="C149" s="755" t="s">
        <v>187</v>
      </c>
      <c r="D149" s="55" t="s">
        <v>8</v>
      </c>
      <c r="E149" s="8">
        <f>SUM(F149:I149)</f>
        <v>15000</v>
      </c>
      <c r="F149" s="8">
        <f>SUM(F150:F154)</f>
        <v>15000</v>
      </c>
      <c r="G149" s="8">
        <f>SUM(G150:G154)</f>
        <v>0</v>
      </c>
      <c r="H149" s="8">
        <f>SUM(H150:H154)</f>
        <v>0</v>
      </c>
      <c r="I149" s="8">
        <f>SUM(I150:I154)</f>
        <v>0</v>
      </c>
      <c r="J149" s="754" t="s">
        <v>285</v>
      </c>
      <c r="K149" s="757" t="s">
        <v>66</v>
      </c>
    </row>
    <row r="150" spans="1:11" s="2" customFormat="1">
      <c r="A150" s="753"/>
      <c r="B150" s="754"/>
      <c r="C150" s="755"/>
      <c r="D150" s="55">
        <v>2016</v>
      </c>
      <c r="E150" s="8">
        <f>SUM(F150:I150)</f>
        <v>0</v>
      </c>
      <c r="F150" s="8">
        <v>0</v>
      </c>
      <c r="G150" s="9">
        <v>0</v>
      </c>
      <c r="H150" s="9">
        <v>0</v>
      </c>
      <c r="I150" s="9">
        <v>0</v>
      </c>
      <c r="J150" s="754"/>
      <c r="K150" s="757"/>
    </row>
    <row r="151" spans="1:11" s="2" customFormat="1">
      <c r="A151" s="753"/>
      <c r="B151" s="754"/>
      <c r="C151" s="755"/>
      <c r="D151" s="55">
        <v>2017</v>
      </c>
      <c r="E151" s="8">
        <v>0</v>
      </c>
      <c r="F151" s="8">
        <v>0</v>
      </c>
      <c r="G151" s="9">
        <v>0</v>
      </c>
      <c r="H151" s="9">
        <v>0</v>
      </c>
      <c r="I151" s="9">
        <v>0</v>
      </c>
      <c r="J151" s="754"/>
      <c r="K151" s="757"/>
    </row>
    <row r="152" spans="1:11" s="2" customFormat="1">
      <c r="A152" s="753"/>
      <c r="B152" s="754"/>
      <c r="C152" s="755"/>
      <c r="D152" s="58">
        <v>2018</v>
      </c>
      <c r="E152" s="59">
        <f>SUM(F152:I152)</f>
        <v>5000</v>
      </c>
      <c r="F152" s="59">
        <v>5000</v>
      </c>
      <c r="G152" s="9">
        <v>0</v>
      </c>
      <c r="H152" s="9">
        <v>0</v>
      </c>
      <c r="I152" s="9">
        <v>0</v>
      </c>
      <c r="J152" s="754"/>
      <c r="K152" s="757"/>
    </row>
    <row r="153" spans="1:11" s="2" customFormat="1">
      <c r="A153" s="753"/>
      <c r="B153" s="754"/>
      <c r="C153" s="755"/>
      <c r="D153" s="58">
        <v>2019</v>
      </c>
      <c r="E153" s="59">
        <f>SUM(F153:I153)</f>
        <v>5000</v>
      </c>
      <c r="F153" s="59">
        <v>5000</v>
      </c>
      <c r="G153" s="9">
        <v>0</v>
      </c>
      <c r="H153" s="9">
        <v>0</v>
      </c>
      <c r="I153" s="9">
        <v>0</v>
      </c>
      <c r="J153" s="754"/>
      <c r="K153" s="757"/>
    </row>
    <row r="154" spans="1:11" s="2" customFormat="1">
      <c r="A154" s="753"/>
      <c r="B154" s="754"/>
      <c r="C154" s="755"/>
      <c r="D154" s="58">
        <v>2020</v>
      </c>
      <c r="E154" s="59">
        <f>SUM(F154:I154)</f>
        <v>5000</v>
      </c>
      <c r="F154" s="59">
        <v>5000</v>
      </c>
      <c r="G154" s="9">
        <v>0</v>
      </c>
      <c r="H154" s="9">
        <v>0</v>
      </c>
      <c r="I154" s="9">
        <v>0</v>
      </c>
      <c r="J154" s="754"/>
      <c r="K154" s="757"/>
    </row>
    <row r="155" spans="1:11" s="2" customFormat="1" ht="30" customHeight="1">
      <c r="A155" s="753" t="s">
        <v>176</v>
      </c>
      <c r="B155" s="754" t="s">
        <v>59</v>
      </c>
      <c r="C155" s="755" t="s">
        <v>14</v>
      </c>
      <c r="D155" s="57" t="s">
        <v>8</v>
      </c>
      <c r="E155" s="8">
        <f>SUM(E156:E160)</f>
        <v>1919399</v>
      </c>
      <c r="F155" s="8">
        <f>F156+F157+F158+F159+F160</f>
        <v>1889822.7000000002</v>
      </c>
      <c r="G155" s="8">
        <f>G156+G157+G158+G159+G160</f>
        <v>29576.3</v>
      </c>
      <c r="H155" s="8">
        <f>H156+H157+H158+H159+H160</f>
        <v>0</v>
      </c>
      <c r="I155" s="8">
        <f>I156+I157+I158+I159+I160</f>
        <v>0</v>
      </c>
      <c r="J155" s="756" t="s">
        <v>60</v>
      </c>
      <c r="K155" s="757" t="s">
        <v>18</v>
      </c>
    </row>
    <row r="156" spans="1:11" s="2" customFormat="1" ht="30" customHeight="1">
      <c r="A156" s="753"/>
      <c r="B156" s="754"/>
      <c r="C156" s="755"/>
      <c r="D156" s="57">
        <v>2016</v>
      </c>
      <c r="E156" s="8">
        <f t="shared" ref="E156:E165" si="15">SUM(F156:I156)</f>
        <v>297039.60000000003</v>
      </c>
      <c r="F156" s="8">
        <f t="shared" ref="F156:I160" si="16">F162+F168+F174+F180</f>
        <v>290831.7</v>
      </c>
      <c r="G156" s="8">
        <f t="shared" si="16"/>
        <v>6207.9</v>
      </c>
      <c r="H156" s="8">
        <f t="shared" si="16"/>
        <v>0</v>
      </c>
      <c r="I156" s="8">
        <f t="shared" si="16"/>
        <v>0</v>
      </c>
      <c r="J156" s="756"/>
      <c r="K156" s="757"/>
    </row>
    <row r="157" spans="1:11" s="2" customFormat="1" ht="30" customHeight="1">
      <c r="A157" s="753"/>
      <c r="B157" s="754"/>
      <c r="C157" s="755"/>
      <c r="D157" s="57">
        <v>2017</v>
      </c>
      <c r="E157" s="8">
        <f>SUM(F157:I157)</f>
        <v>344371.4</v>
      </c>
      <c r="F157" s="8">
        <f t="shared" si="16"/>
        <v>336315.9</v>
      </c>
      <c r="G157" s="8">
        <f t="shared" si="16"/>
        <v>8055.5</v>
      </c>
      <c r="H157" s="8">
        <f t="shared" si="16"/>
        <v>0</v>
      </c>
      <c r="I157" s="8">
        <f t="shared" si="16"/>
        <v>0</v>
      </c>
      <c r="J157" s="756"/>
      <c r="K157" s="757"/>
    </row>
    <row r="158" spans="1:11" s="2" customFormat="1" ht="30" customHeight="1">
      <c r="A158" s="753"/>
      <c r="B158" s="754"/>
      <c r="C158" s="755"/>
      <c r="D158" s="57">
        <v>2018</v>
      </c>
      <c r="E158" s="8">
        <f t="shared" si="15"/>
        <v>447476.60000000003</v>
      </c>
      <c r="F158" s="8">
        <f t="shared" si="16"/>
        <v>432163.7</v>
      </c>
      <c r="G158" s="8">
        <f t="shared" si="16"/>
        <v>15312.9</v>
      </c>
      <c r="H158" s="8">
        <f t="shared" si="16"/>
        <v>0</v>
      </c>
      <c r="I158" s="8">
        <f t="shared" si="16"/>
        <v>0</v>
      </c>
      <c r="J158" s="756"/>
      <c r="K158" s="757"/>
    </row>
    <row r="159" spans="1:11" s="2" customFormat="1" ht="30" customHeight="1">
      <c r="A159" s="753"/>
      <c r="B159" s="754"/>
      <c r="C159" s="755"/>
      <c r="D159" s="57">
        <v>2019</v>
      </c>
      <c r="E159" s="8">
        <f>SUM(F159:I159)</f>
        <v>410110.4</v>
      </c>
      <c r="F159" s="8">
        <f t="shared" si="16"/>
        <v>410110.4</v>
      </c>
      <c r="G159" s="8">
        <f t="shared" si="16"/>
        <v>0</v>
      </c>
      <c r="H159" s="8">
        <f t="shared" si="16"/>
        <v>0</v>
      </c>
      <c r="I159" s="8">
        <f t="shared" si="16"/>
        <v>0</v>
      </c>
      <c r="J159" s="756"/>
      <c r="K159" s="757"/>
    </row>
    <row r="160" spans="1:11" s="2" customFormat="1" ht="30" customHeight="1">
      <c r="A160" s="753"/>
      <c r="B160" s="754"/>
      <c r="C160" s="755"/>
      <c r="D160" s="57">
        <v>2020</v>
      </c>
      <c r="E160" s="8">
        <f>SUM(F160:I160)</f>
        <v>420401</v>
      </c>
      <c r="F160" s="8">
        <f t="shared" si="16"/>
        <v>420401</v>
      </c>
      <c r="G160" s="8">
        <f t="shared" si="16"/>
        <v>0</v>
      </c>
      <c r="H160" s="8">
        <f t="shared" si="16"/>
        <v>0</v>
      </c>
      <c r="I160" s="8">
        <f t="shared" si="16"/>
        <v>0</v>
      </c>
      <c r="J160" s="756"/>
      <c r="K160" s="757"/>
    </row>
    <row r="161" spans="1:11" s="2" customFormat="1" ht="17.100000000000001" customHeight="1">
      <c r="A161" s="753" t="s">
        <v>58</v>
      </c>
      <c r="B161" s="754" t="s">
        <v>22</v>
      </c>
      <c r="C161" s="755" t="s">
        <v>14</v>
      </c>
      <c r="D161" s="58" t="s">
        <v>8</v>
      </c>
      <c r="E161" s="59">
        <f>SUM(E162:E166)</f>
        <v>1844170.7000000002</v>
      </c>
      <c r="F161" s="59">
        <f>SUM(F162:F166)</f>
        <v>1844170.7000000002</v>
      </c>
      <c r="G161" s="8">
        <f>SUM(G162:G165)</f>
        <v>0</v>
      </c>
      <c r="H161" s="8">
        <f>SUM(H162:H165)</f>
        <v>0</v>
      </c>
      <c r="I161" s="8">
        <f>SUM(I162:I165)</f>
        <v>0</v>
      </c>
      <c r="J161" s="756" t="s">
        <v>156</v>
      </c>
      <c r="K161" s="757" t="s">
        <v>61</v>
      </c>
    </row>
    <row r="162" spans="1:11" s="2" customFormat="1" ht="17.100000000000001" customHeight="1">
      <c r="A162" s="753"/>
      <c r="B162" s="754"/>
      <c r="C162" s="755"/>
      <c r="D162" s="55">
        <v>2016</v>
      </c>
      <c r="E162" s="8">
        <f t="shared" si="15"/>
        <v>288974</v>
      </c>
      <c r="F162" s="9">
        <v>288974</v>
      </c>
      <c r="G162" s="9">
        <f>[1]План!G232+[1]План!G240+[1]План!G248+[1]План!G256+[1]План!G264+[1]План!G272+[1]План!G280+[1]План!G288+[1]План!G296+[1]План!G304+[1]План!G312+[1]План!G320+[1]План!G328+[1]План!G336+[1]План!G344+[1]План!G352+[1]План!G360+[1]План!G368+[1]План!G376+[1]План!G384+[1]План!G392+[1]План!G400+[1]План!G408+[1]План!G416+[1]План!G424+[1]План!G432+[1]План!G440+[1]План!G448+[1]План!G456+[1]План!G464+[1]План!G472+[1]План!G480+[1]План!G488+[1]План!G496+[1]План!G504+[1]План!G512+[1]План!G520+[1]План!G528+[1]План!G536+[1]План!G544+[1]План!G552+[1]План!G560+[1]План!G568+[1]План!G584+[1]План!G592</f>
        <v>0</v>
      </c>
      <c r="H162" s="9">
        <f>[1]План!H232+[1]План!H240+[1]План!H248+[1]План!H256+[1]План!H264+[1]План!H272+[1]План!H280+[1]План!H288+[1]План!H296+[1]План!H304+[1]План!H312+[1]План!H320+[1]План!H328+[1]План!H336+[1]План!H344+[1]План!H352+[1]План!H360+[1]План!H368+[1]План!H376+[1]План!H384+[1]План!H392+[1]План!H400+[1]План!H408+[1]План!H416+[1]План!H424+[1]План!H432+[1]План!H440+[1]План!H448+[1]План!H456+[1]План!H464+[1]План!H472+[1]План!H480+[1]План!H488+[1]План!H496+[1]План!H504+[1]План!H512+[1]План!H520+[1]План!H528+[1]План!H536+[1]План!H544+[1]План!H552+[1]План!H560+[1]План!H568+[1]План!H584+[1]План!H592</f>
        <v>0</v>
      </c>
      <c r="I162" s="9">
        <f>[1]План!I232+[1]План!I240+[1]План!I248+[1]План!I256+[1]План!I264+[1]План!I272+[1]План!I280+[1]План!I288+[1]План!I296+[1]План!I304+[1]План!I312+[1]План!I320+[1]План!I328+[1]План!I336+[1]План!I344+[1]План!I352+[1]План!I360+[1]План!I368+[1]План!I376+[1]План!I384+[1]План!I392+[1]План!I400+[1]План!I408+[1]План!I416+[1]План!I424+[1]План!I432+[1]План!I440+[1]План!I448+[1]План!I456+[1]План!I464+[1]План!I472+[1]План!I480+[1]План!I488+[1]План!I496+[1]План!I504+[1]План!I512+[1]План!I520+[1]План!I528+[1]План!I536+[1]План!I544+[1]План!I552+[1]План!I560+[1]План!I568+[1]План!I584+[1]План!I592</f>
        <v>0</v>
      </c>
      <c r="J162" s="756"/>
      <c r="K162" s="757"/>
    </row>
    <row r="163" spans="1:11" s="2" customFormat="1" ht="17.100000000000001" customHeight="1">
      <c r="A163" s="753"/>
      <c r="B163" s="754"/>
      <c r="C163" s="755"/>
      <c r="D163" s="55">
        <v>2017</v>
      </c>
      <c r="E163" s="8">
        <f>SUM(F163:I163)</f>
        <v>334047.40000000002</v>
      </c>
      <c r="F163" s="9">
        <v>334047.40000000002</v>
      </c>
      <c r="G163" s="9">
        <f>[1]План!G233+[1]План!G241+[1]План!G249+[1]План!G257+[1]План!G265+[1]План!G273+[1]План!G281+[1]План!G289+[1]План!G297+[1]План!G305+[1]План!G313+[1]План!G321+[1]План!G329+[1]План!G337+[1]План!G345+[1]План!G353+[1]План!G361+[1]План!G369+[1]План!G377+[1]План!G385+[1]План!G393+[1]План!G401+[1]План!G409+[1]План!G417+[1]План!G425+[1]План!G433+[1]План!G441+[1]План!G449+[1]План!G457+[1]План!G465+[1]План!G473+[1]План!G481+[1]План!G489+[1]План!G497+[1]План!G505+[1]План!G513+[1]План!G521+[1]План!G529+[1]План!G537+[1]План!G545+[1]План!G553+[1]План!G561+[1]План!G569+[1]План!G585+[1]План!G593</f>
        <v>0</v>
      </c>
      <c r="H163" s="9">
        <f>[1]План!H233+[1]План!H241+[1]План!H249+[1]План!H257+[1]План!H265+[1]План!H273+[1]План!H281+[1]План!H289+[1]План!H297+[1]План!H305+[1]План!H313+[1]План!H321+[1]План!H329+[1]План!H337+[1]План!H345+[1]План!H353+[1]План!H361+[1]План!H369+[1]План!H377+[1]План!H385+[1]План!H393+[1]План!H401+[1]План!H409+[1]План!H417+[1]План!H425+[1]План!H433+[1]План!H441+[1]План!H449+[1]План!H457+[1]План!H465+[1]План!H473+[1]План!H481+[1]План!H489+[1]План!H497+[1]План!H505+[1]План!H513+[1]План!H521+[1]План!H529+[1]План!H537+[1]План!H545+[1]План!H553+[1]План!H561+[1]План!H569+[1]План!H585+[1]План!H593</f>
        <v>0</v>
      </c>
      <c r="I163" s="9">
        <f>[1]План!I233+[1]План!I241+[1]План!I249+[1]План!I257+[1]План!I265+[1]План!I273+[1]План!I281+[1]План!I289+[1]План!I297+[1]План!I305+[1]План!I313+[1]План!I321+[1]План!I329+[1]План!I337+[1]План!I345+[1]План!I353+[1]План!I361+[1]План!I369+[1]План!I377+[1]План!I385+[1]План!I393+[1]План!I401+[1]План!I409+[1]План!I417+[1]План!I425+[1]План!I433+[1]План!I441+[1]План!I449+[1]План!I457+[1]План!I465+[1]План!I473+[1]План!I481+[1]План!I489+[1]План!I497+[1]План!I505+[1]План!I513+[1]План!I521+[1]План!I529+[1]План!I537+[1]План!I545+[1]План!I553+[1]План!I561+[1]План!I569+[1]План!I585+[1]План!I593</f>
        <v>0</v>
      </c>
      <c r="J163" s="756"/>
      <c r="K163" s="757"/>
    </row>
    <row r="164" spans="1:11" s="2" customFormat="1" ht="17.100000000000001" customHeight="1">
      <c r="A164" s="753"/>
      <c r="B164" s="754"/>
      <c r="C164" s="755"/>
      <c r="D164" s="58">
        <v>2018</v>
      </c>
      <c r="E164" s="59">
        <f t="shared" si="15"/>
        <v>422347.9</v>
      </c>
      <c r="F164" s="60">
        <v>422347.9</v>
      </c>
      <c r="G164" s="9">
        <f>[1]План!G234+[1]План!G242+[1]План!G250+[1]План!G258+[1]План!G266+[1]План!G274+[1]План!G282+[1]План!G290+[1]План!G298+[1]План!G306+[1]План!G314+[1]План!G322+[1]План!G330+[1]План!G338+[1]План!G346+[1]План!G354+[1]План!G362+[1]План!G370+[1]План!G378+[1]План!G386+[1]План!G394+[1]План!G402+[1]План!G410+[1]План!G418+[1]План!G426+[1]План!G434+[1]План!G442+[1]План!G450+[1]План!G458+[1]План!G466+[1]План!G474+[1]План!G482+[1]План!G490+[1]План!G498+[1]План!G506+[1]План!G514+[1]План!G522+[1]План!G530+[1]План!G538+[1]План!G546+[1]План!G554+[1]План!G562+[1]План!G570+[1]План!G586+[1]План!G594</f>
        <v>0</v>
      </c>
      <c r="H164" s="9">
        <f>[1]План!H234+[1]План!H242+[1]План!H250+[1]План!H258+[1]План!H266+[1]План!H274+[1]План!H282+[1]План!H290+[1]План!H298+[1]План!H306+[1]План!H314+[1]План!H322+[1]План!H330+[1]План!H338+[1]План!H346+[1]План!H354+[1]План!H362+[1]План!H370+[1]План!H378+[1]План!H386+[1]План!H394+[1]План!H402+[1]План!H410+[1]План!H418+[1]План!H426+[1]План!H434+[1]План!H442+[1]План!H450+[1]План!H458+[1]План!H466+[1]План!H474+[1]План!H482+[1]План!H490+[1]План!H498+[1]План!H506+[1]План!H514+[1]План!H522+[1]План!H530+[1]План!H538+[1]План!H546+[1]План!H554+[1]План!H562+[1]План!H570+[1]План!H586+[1]План!H594</f>
        <v>0</v>
      </c>
      <c r="I164" s="9">
        <f>[1]План!I234+[1]План!I242+[1]План!I250+[1]План!I258+[1]План!I266+[1]План!I274+[1]План!I282+[1]План!I290+[1]План!I298+[1]План!I306+[1]План!I314+[1]План!I322+[1]План!I330+[1]План!I338+[1]План!I346+[1]План!I354+[1]План!I362+[1]План!I370+[1]План!I378+[1]План!I386+[1]План!I394+[1]План!I402+[1]План!I410+[1]План!I418+[1]План!I426+[1]План!I434+[1]План!I442+[1]План!I450+[1]План!I458+[1]План!I466+[1]План!I474+[1]План!I482+[1]План!I490+[1]План!I498+[1]План!I506+[1]План!I514+[1]План!I522+[1]План!I530+[1]План!I538+[1]План!I546+[1]План!I554+[1]План!I562+[1]План!I570+[1]План!I586+[1]План!I594</f>
        <v>0</v>
      </c>
      <c r="J164" s="756"/>
      <c r="K164" s="757"/>
    </row>
    <row r="165" spans="1:11" s="2" customFormat="1" ht="17.100000000000001" customHeight="1">
      <c r="A165" s="753"/>
      <c r="B165" s="754"/>
      <c r="C165" s="755"/>
      <c r="D165" s="58">
        <v>2019</v>
      </c>
      <c r="E165" s="59">
        <f t="shared" si="15"/>
        <v>394255.4</v>
      </c>
      <c r="F165" s="60">
        <v>394255.4</v>
      </c>
      <c r="G165" s="9">
        <v>0</v>
      </c>
      <c r="H165" s="9">
        <v>0</v>
      </c>
      <c r="I165" s="9">
        <v>0</v>
      </c>
      <c r="J165" s="756"/>
      <c r="K165" s="757"/>
    </row>
    <row r="166" spans="1:11" s="2" customFormat="1" ht="17.100000000000001" customHeight="1">
      <c r="A166" s="753"/>
      <c r="B166" s="754"/>
      <c r="C166" s="755"/>
      <c r="D166" s="58">
        <v>2020</v>
      </c>
      <c r="E166" s="59">
        <f>SUM(F166:I166)</f>
        <v>404546</v>
      </c>
      <c r="F166" s="60">
        <v>404546</v>
      </c>
      <c r="G166" s="9">
        <v>0</v>
      </c>
      <c r="H166" s="9">
        <v>0</v>
      </c>
      <c r="I166" s="9">
        <v>0</v>
      </c>
      <c r="J166" s="756"/>
      <c r="K166" s="757"/>
    </row>
    <row r="167" spans="1:11" s="2" customFormat="1" ht="13.5" customHeight="1">
      <c r="A167" s="753" t="s">
        <v>67</v>
      </c>
      <c r="B167" s="754" t="s">
        <v>62</v>
      </c>
      <c r="C167" s="755" t="s">
        <v>14</v>
      </c>
      <c r="D167" s="55" t="s">
        <v>8</v>
      </c>
      <c r="E167" s="8">
        <f>SUM(E168:E172)</f>
        <v>10453.199999999999</v>
      </c>
      <c r="F167" s="8">
        <f>SUM(F168:F172)</f>
        <v>10453.199999999999</v>
      </c>
      <c r="G167" s="8">
        <f>SUM(G168:G172)</f>
        <v>0</v>
      </c>
      <c r="H167" s="8">
        <f>SUM(H168:H172)</f>
        <v>0</v>
      </c>
      <c r="I167" s="8">
        <f>SUM(I168:I172)</f>
        <v>0</v>
      </c>
      <c r="J167" s="756" t="s">
        <v>63</v>
      </c>
      <c r="K167" s="757" t="s">
        <v>61</v>
      </c>
    </row>
    <row r="168" spans="1:11" s="2" customFormat="1" ht="13.5" customHeight="1">
      <c r="A168" s="753"/>
      <c r="B168" s="754"/>
      <c r="C168" s="755"/>
      <c r="D168" s="55">
        <v>2016</v>
      </c>
      <c r="E168" s="8">
        <f>SUM(F168:I168)</f>
        <v>1527.7</v>
      </c>
      <c r="F168" s="8">
        <v>1527.7</v>
      </c>
      <c r="G168" s="9">
        <v>0</v>
      </c>
      <c r="H168" s="9">
        <v>0</v>
      </c>
      <c r="I168" s="9">
        <v>0</v>
      </c>
      <c r="J168" s="756"/>
      <c r="K168" s="757"/>
    </row>
    <row r="169" spans="1:11" s="2" customFormat="1" ht="13.5" customHeight="1">
      <c r="A169" s="753"/>
      <c r="B169" s="754"/>
      <c r="C169" s="755"/>
      <c r="D169" s="55">
        <v>2017</v>
      </c>
      <c r="E169" s="8">
        <f>SUM(F169:I169)</f>
        <v>1819.6</v>
      </c>
      <c r="F169" s="8">
        <v>1819.6</v>
      </c>
      <c r="G169" s="9">
        <v>0</v>
      </c>
      <c r="H169" s="9">
        <v>0</v>
      </c>
      <c r="I169" s="9">
        <v>0</v>
      </c>
      <c r="J169" s="756"/>
      <c r="K169" s="757"/>
    </row>
    <row r="170" spans="1:11" s="2" customFormat="1" ht="13.5" customHeight="1">
      <c r="A170" s="753"/>
      <c r="B170" s="754"/>
      <c r="C170" s="755"/>
      <c r="D170" s="55">
        <v>2018</v>
      </c>
      <c r="E170" s="59">
        <f>SUM(F170:I170)</f>
        <v>3561.3</v>
      </c>
      <c r="F170" s="60">
        <v>3561.3</v>
      </c>
      <c r="G170" s="9">
        <v>0</v>
      </c>
      <c r="H170" s="9">
        <v>0</v>
      </c>
      <c r="I170" s="9">
        <v>0</v>
      </c>
      <c r="J170" s="756"/>
      <c r="K170" s="757"/>
    </row>
    <row r="171" spans="1:11" s="2" customFormat="1" ht="13.5" customHeight="1">
      <c r="A171" s="753"/>
      <c r="B171" s="754"/>
      <c r="C171" s="755"/>
      <c r="D171" s="55">
        <v>2019</v>
      </c>
      <c r="E171" s="8">
        <f>SUM(F171:I171)</f>
        <v>1772.3</v>
      </c>
      <c r="F171" s="9">
        <v>1772.3</v>
      </c>
      <c r="G171" s="9">
        <v>0</v>
      </c>
      <c r="H171" s="9">
        <v>0</v>
      </c>
      <c r="I171" s="9">
        <v>0</v>
      </c>
      <c r="J171" s="756"/>
      <c r="K171" s="757"/>
    </row>
    <row r="172" spans="1:11" s="2" customFormat="1" ht="13.5" customHeight="1">
      <c r="A172" s="753"/>
      <c r="B172" s="754"/>
      <c r="C172" s="755"/>
      <c r="D172" s="55">
        <v>2020</v>
      </c>
      <c r="E172" s="8">
        <f>SUM(F172:I172)</f>
        <v>1772.3</v>
      </c>
      <c r="F172" s="9">
        <v>1772.3</v>
      </c>
      <c r="G172" s="9">
        <v>0</v>
      </c>
      <c r="H172" s="9">
        <v>0</v>
      </c>
      <c r="I172" s="9">
        <v>0</v>
      </c>
      <c r="J172" s="756"/>
      <c r="K172" s="757"/>
    </row>
    <row r="173" spans="1:11" s="2" customFormat="1" ht="21.95" customHeight="1">
      <c r="A173" s="753" t="s">
        <v>209</v>
      </c>
      <c r="B173" s="754" t="s">
        <v>64</v>
      </c>
      <c r="C173" s="755" t="s">
        <v>14</v>
      </c>
      <c r="D173" s="57" t="s">
        <v>8</v>
      </c>
      <c r="E173" s="8">
        <f>SUM(E174:E178)</f>
        <v>64756.2</v>
      </c>
      <c r="F173" s="8">
        <f>SUM(F174:F178)</f>
        <v>35179.9</v>
      </c>
      <c r="G173" s="8">
        <f>SUM(G174:G178)</f>
        <v>29576.3</v>
      </c>
      <c r="H173" s="8">
        <f>SUM(H174:H178)</f>
        <v>0</v>
      </c>
      <c r="I173" s="8">
        <f>SUM(I174:I178)</f>
        <v>0</v>
      </c>
      <c r="J173" s="756" t="s">
        <v>286</v>
      </c>
      <c r="K173" s="757" t="s">
        <v>26</v>
      </c>
    </row>
    <row r="174" spans="1:11" s="2" customFormat="1" ht="21.95" customHeight="1">
      <c r="A174" s="753"/>
      <c r="B174" s="754"/>
      <c r="C174" s="755"/>
      <c r="D174" s="57">
        <v>2016</v>
      </c>
      <c r="E174" s="8">
        <f>SUM(F174:I174)</f>
        <v>6537.9</v>
      </c>
      <c r="F174" s="8">
        <v>330</v>
      </c>
      <c r="G174" s="9">
        <v>6207.9</v>
      </c>
      <c r="H174" s="9">
        <v>0</v>
      </c>
      <c r="I174" s="9">
        <v>0</v>
      </c>
      <c r="J174" s="756"/>
      <c r="K174" s="757"/>
    </row>
    <row r="175" spans="1:11" s="2" customFormat="1" ht="21.95" customHeight="1">
      <c r="A175" s="753"/>
      <c r="B175" s="754"/>
      <c r="C175" s="755"/>
      <c r="D175" s="57">
        <v>2017</v>
      </c>
      <c r="E175" s="8">
        <f>SUM(F175:I175)</f>
        <v>8485.5</v>
      </c>
      <c r="F175" s="8">
        <v>430</v>
      </c>
      <c r="G175" s="9">
        <v>8055.5</v>
      </c>
      <c r="H175" s="9">
        <v>0</v>
      </c>
      <c r="I175" s="9">
        <v>0</v>
      </c>
      <c r="J175" s="756"/>
      <c r="K175" s="757"/>
    </row>
    <row r="176" spans="1:11" s="2" customFormat="1" ht="21.95" customHeight="1">
      <c r="A176" s="753"/>
      <c r="B176" s="754"/>
      <c r="C176" s="755"/>
      <c r="D176" s="57">
        <v>2018</v>
      </c>
      <c r="E176" s="8">
        <f>SUM(F176:I176)</f>
        <v>21567.4</v>
      </c>
      <c r="F176" s="9">
        <v>6254.5</v>
      </c>
      <c r="G176" s="9">
        <v>15312.9</v>
      </c>
      <c r="H176" s="9">
        <v>0</v>
      </c>
      <c r="I176" s="9">
        <v>0</v>
      </c>
      <c r="J176" s="756"/>
      <c r="K176" s="757"/>
    </row>
    <row r="177" spans="1:11" s="2" customFormat="1" ht="21.95" customHeight="1">
      <c r="A177" s="753"/>
      <c r="B177" s="754"/>
      <c r="C177" s="755"/>
      <c r="D177" s="57">
        <v>2019</v>
      </c>
      <c r="E177" s="8">
        <f>SUM(F177:I177)</f>
        <v>14082.7</v>
      </c>
      <c r="F177" s="9">
        <v>14082.7</v>
      </c>
      <c r="G177" s="9">
        <v>0</v>
      </c>
      <c r="H177" s="9">
        <v>0</v>
      </c>
      <c r="I177" s="9">
        <v>0</v>
      </c>
      <c r="J177" s="756"/>
      <c r="K177" s="757"/>
    </row>
    <row r="178" spans="1:11" s="2" customFormat="1" ht="21.95" customHeight="1">
      <c r="A178" s="753"/>
      <c r="B178" s="754"/>
      <c r="C178" s="755"/>
      <c r="D178" s="57">
        <v>2020</v>
      </c>
      <c r="E178" s="8">
        <f>SUM(F178:I178)</f>
        <v>14082.7</v>
      </c>
      <c r="F178" s="9">
        <v>14082.7</v>
      </c>
      <c r="G178" s="9">
        <v>0</v>
      </c>
      <c r="H178" s="9">
        <v>0</v>
      </c>
      <c r="I178" s="9">
        <v>0</v>
      </c>
      <c r="J178" s="756"/>
      <c r="K178" s="757"/>
    </row>
    <row r="179" spans="1:11" s="2" customFormat="1" ht="17.100000000000001" customHeight="1">
      <c r="A179" s="753" t="s">
        <v>210</v>
      </c>
      <c r="B179" s="754" t="s">
        <v>157</v>
      </c>
      <c r="C179" s="755">
        <v>2017</v>
      </c>
      <c r="D179" s="57" t="s">
        <v>8</v>
      </c>
      <c r="E179" s="8">
        <f>SUM(E180:E182)</f>
        <v>18.899999999999999</v>
      </c>
      <c r="F179" s="8">
        <f>SUM(F180:F184)</f>
        <v>18.899999999999999</v>
      </c>
      <c r="G179" s="8">
        <f>SUM(G180:G184)</f>
        <v>0</v>
      </c>
      <c r="H179" s="8">
        <f>SUM(H180:H184)</f>
        <v>0</v>
      </c>
      <c r="I179" s="8">
        <f>SUM(I180:I184)</f>
        <v>0</v>
      </c>
      <c r="J179" s="756" t="s">
        <v>157</v>
      </c>
      <c r="K179" s="757" t="s">
        <v>61</v>
      </c>
    </row>
    <row r="180" spans="1:11" s="2" customFormat="1" ht="17.100000000000001" customHeight="1">
      <c r="A180" s="753"/>
      <c r="B180" s="754"/>
      <c r="C180" s="755"/>
      <c r="D180" s="57">
        <v>2016</v>
      </c>
      <c r="E180" s="8">
        <f>SUM(F180:I180)</f>
        <v>0</v>
      </c>
      <c r="F180" s="8">
        <v>0</v>
      </c>
      <c r="G180" s="9">
        <v>0</v>
      </c>
      <c r="H180" s="9">
        <v>0</v>
      </c>
      <c r="I180" s="9">
        <v>0</v>
      </c>
      <c r="J180" s="756"/>
      <c r="K180" s="757"/>
    </row>
    <row r="181" spans="1:11" s="2" customFormat="1" ht="17.100000000000001" customHeight="1">
      <c r="A181" s="753"/>
      <c r="B181" s="754"/>
      <c r="C181" s="755"/>
      <c r="D181" s="57">
        <v>2017</v>
      </c>
      <c r="E181" s="8">
        <f>SUM(F181:I181)</f>
        <v>18.899999999999999</v>
      </c>
      <c r="F181" s="8">
        <v>18.899999999999999</v>
      </c>
      <c r="G181" s="9">
        <v>0</v>
      </c>
      <c r="H181" s="9">
        <v>0</v>
      </c>
      <c r="I181" s="9">
        <v>0</v>
      </c>
      <c r="J181" s="756"/>
      <c r="K181" s="757"/>
    </row>
    <row r="182" spans="1:11" s="2" customFormat="1" ht="17.100000000000001" customHeight="1">
      <c r="A182" s="753"/>
      <c r="B182" s="754"/>
      <c r="C182" s="755"/>
      <c r="D182" s="57">
        <v>2018</v>
      </c>
      <c r="E182" s="8">
        <f>SUM(F182:I182)</f>
        <v>0</v>
      </c>
      <c r="F182" s="8">
        <v>0</v>
      </c>
      <c r="G182" s="9">
        <v>0</v>
      </c>
      <c r="H182" s="9">
        <v>0</v>
      </c>
      <c r="I182" s="9">
        <v>0</v>
      </c>
      <c r="J182" s="756"/>
      <c r="K182" s="757"/>
    </row>
    <row r="183" spans="1:11" s="2" customFormat="1" ht="17.100000000000001" customHeight="1">
      <c r="A183" s="753"/>
      <c r="B183" s="754"/>
      <c r="C183" s="755"/>
      <c r="D183" s="57">
        <v>2019</v>
      </c>
      <c r="E183" s="8">
        <f>SUM(F183:I183)</f>
        <v>0</v>
      </c>
      <c r="F183" s="8">
        <v>0</v>
      </c>
      <c r="G183" s="9">
        <v>0</v>
      </c>
      <c r="H183" s="9">
        <v>0</v>
      </c>
      <c r="I183" s="9">
        <v>0</v>
      </c>
      <c r="J183" s="756"/>
      <c r="K183" s="757"/>
    </row>
    <row r="184" spans="1:11" s="2" customFormat="1" ht="17.100000000000001" customHeight="1">
      <c r="A184" s="753"/>
      <c r="B184" s="754"/>
      <c r="C184" s="755"/>
      <c r="D184" s="57">
        <v>2020</v>
      </c>
      <c r="E184" s="8">
        <f>SUM(F184:I184)</f>
        <v>0</v>
      </c>
      <c r="F184" s="8">
        <v>0</v>
      </c>
      <c r="G184" s="9">
        <v>0</v>
      </c>
      <c r="H184" s="9">
        <v>0</v>
      </c>
      <c r="I184" s="9">
        <v>0</v>
      </c>
      <c r="J184" s="756"/>
      <c r="K184" s="757"/>
    </row>
    <row r="185" spans="1:11" s="2" customFormat="1" ht="24.95" customHeight="1">
      <c r="A185" s="753" t="s">
        <v>177</v>
      </c>
      <c r="B185" s="754" t="s">
        <v>68</v>
      </c>
      <c r="C185" s="755" t="s">
        <v>14</v>
      </c>
      <c r="D185" s="57" t="s">
        <v>8</v>
      </c>
      <c r="E185" s="8">
        <f t="shared" ref="E185:E190" si="17">F185+G185+H185+I185</f>
        <v>31281.1</v>
      </c>
      <c r="F185" s="8">
        <f>SUM(F186:F190)</f>
        <v>31281.1</v>
      </c>
      <c r="G185" s="8">
        <f>SUM(G186:G190)</f>
        <v>0</v>
      </c>
      <c r="H185" s="8">
        <f>SUM(H186:H190)</f>
        <v>0</v>
      </c>
      <c r="I185" s="8">
        <f>SUM(I186:I190)</f>
        <v>0</v>
      </c>
      <c r="J185" s="756" t="s">
        <v>69</v>
      </c>
      <c r="K185" s="757" t="s">
        <v>42</v>
      </c>
    </row>
    <row r="186" spans="1:11" s="2" customFormat="1" ht="24.95" customHeight="1">
      <c r="A186" s="753"/>
      <c r="B186" s="754"/>
      <c r="C186" s="755"/>
      <c r="D186" s="57">
        <v>2016</v>
      </c>
      <c r="E186" s="8">
        <f t="shared" si="17"/>
        <v>1983.3</v>
      </c>
      <c r="F186" s="8">
        <f t="shared" ref="F186:I190" si="18">F192+F198+F204+F210</f>
        <v>1983.3</v>
      </c>
      <c r="G186" s="8">
        <f t="shared" si="18"/>
        <v>0</v>
      </c>
      <c r="H186" s="8">
        <f t="shared" si="18"/>
        <v>0</v>
      </c>
      <c r="I186" s="8">
        <f t="shared" si="18"/>
        <v>0</v>
      </c>
      <c r="J186" s="756"/>
      <c r="K186" s="757"/>
    </row>
    <row r="187" spans="1:11" s="2" customFormat="1" ht="24.95" customHeight="1">
      <c r="A187" s="753"/>
      <c r="B187" s="754"/>
      <c r="C187" s="755"/>
      <c r="D187" s="57">
        <v>2017</v>
      </c>
      <c r="E187" s="8">
        <f t="shared" si="17"/>
        <v>27553.3</v>
      </c>
      <c r="F187" s="8">
        <f t="shared" si="18"/>
        <v>27553.3</v>
      </c>
      <c r="G187" s="8">
        <f t="shared" si="18"/>
        <v>0</v>
      </c>
      <c r="H187" s="8">
        <f t="shared" si="18"/>
        <v>0</v>
      </c>
      <c r="I187" s="8">
        <f t="shared" si="18"/>
        <v>0</v>
      </c>
      <c r="J187" s="756"/>
      <c r="K187" s="757"/>
    </row>
    <row r="188" spans="1:11" s="2" customFormat="1" ht="24.95" customHeight="1">
      <c r="A188" s="753"/>
      <c r="B188" s="754"/>
      <c r="C188" s="755"/>
      <c r="D188" s="57">
        <v>2018</v>
      </c>
      <c r="E188" s="8">
        <f t="shared" si="17"/>
        <v>581.5</v>
      </c>
      <c r="F188" s="8">
        <f t="shared" si="18"/>
        <v>581.5</v>
      </c>
      <c r="G188" s="8">
        <f t="shared" si="18"/>
        <v>0</v>
      </c>
      <c r="H188" s="8">
        <f t="shared" si="18"/>
        <v>0</v>
      </c>
      <c r="I188" s="8">
        <f t="shared" si="18"/>
        <v>0</v>
      </c>
      <c r="J188" s="756"/>
      <c r="K188" s="757"/>
    </row>
    <row r="189" spans="1:11" s="2" customFormat="1" ht="24.95" customHeight="1">
      <c r="A189" s="753"/>
      <c r="B189" s="754"/>
      <c r="C189" s="755"/>
      <c r="D189" s="57">
        <v>2019</v>
      </c>
      <c r="E189" s="8">
        <f t="shared" si="17"/>
        <v>581.5</v>
      </c>
      <c r="F189" s="8">
        <f t="shared" si="18"/>
        <v>581.5</v>
      </c>
      <c r="G189" s="8">
        <f t="shared" si="18"/>
        <v>0</v>
      </c>
      <c r="H189" s="8">
        <f t="shared" si="18"/>
        <v>0</v>
      </c>
      <c r="I189" s="8">
        <f t="shared" si="18"/>
        <v>0</v>
      </c>
      <c r="J189" s="756"/>
      <c r="K189" s="757"/>
    </row>
    <row r="190" spans="1:11" s="2" customFormat="1" ht="24.95" customHeight="1">
      <c r="A190" s="753"/>
      <c r="B190" s="754"/>
      <c r="C190" s="755"/>
      <c r="D190" s="57">
        <v>2020</v>
      </c>
      <c r="E190" s="8">
        <f t="shared" si="17"/>
        <v>581.5</v>
      </c>
      <c r="F190" s="8">
        <f t="shared" si="18"/>
        <v>581.5</v>
      </c>
      <c r="G190" s="8">
        <f t="shared" si="18"/>
        <v>0</v>
      </c>
      <c r="H190" s="8">
        <f t="shared" si="18"/>
        <v>0</v>
      </c>
      <c r="I190" s="8">
        <f t="shared" si="18"/>
        <v>0</v>
      </c>
      <c r="J190" s="756"/>
      <c r="K190" s="757"/>
    </row>
    <row r="191" spans="1:11" s="2" customFormat="1" ht="15.75" customHeight="1">
      <c r="A191" s="753" t="s">
        <v>211</v>
      </c>
      <c r="B191" s="754" t="s">
        <v>70</v>
      </c>
      <c r="C191" s="755" t="s">
        <v>14</v>
      </c>
      <c r="D191" s="55" t="s">
        <v>8</v>
      </c>
      <c r="E191" s="8">
        <f t="shared" ref="E191:E215" si="19">SUM(F191:I191)</f>
        <v>3331.1</v>
      </c>
      <c r="F191" s="8">
        <f>SUM(F192:F196)</f>
        <v>3331.1</v>
      </c>
      <c r="G191" s="8">
        <f>SUM(G192:G196)</f>
        <v>0</v>
      </c>
      <c r="H191" s="8">
        <f>SUM(H192:H196)</f>
        <v>0</v>
      </c>
      <c r="I191" s="8">
        <f>SUM(I192:I196)</f>
        <v>0</v>
      </c>
      <c r="J191" s="756" t="s">
        <v>71</v>
      </c>
      <c r="K191" s="757" t="s">
        <v>61</v>
      </c>
    </row>
    <row r="192" spans="1:11" s="2" customFormat="1">
      <c r="A192" s="753"/>
      <c r="B192" s="754"/>
      <c r="C192" s="755"/>
      <c r="D192" s="55">
        <v>2016</v>
      </c>
      <c r="E192" s="8">
        <f t="shared" si="19"/>
        <v>883.3</v>
      </c>
      <c r="F192" s="8">
        <v>883.3</v>
      </c>
      <c r="G192" s="9">
        <v>0</v>
      </c>
      <c r="H192" s="9">
        <v>0</v>
      </c>
      <c r="I192" s="9">
        <v>0</v>
      </c>
      <c r="J192" s="756"/>
      <c r="K192" s="757"/>
    </row>
    <row r="193" spans="1:11" s="2" customFormat="1">
      <c r="A193" s="753"/>
      <c r="B193" s="754"/>
      <c r="C193" s="755"/>
      <c r="D193" s="55">
        <v>2017</v>
      </c>
      <c r="E193" s="8">
        <f t="shared" si="19"/>
        <v>703.3</v>
      </c>
      <c r="F193" s="8">
        <v>703.3</v>
      </c>
      <c r="G193" s="9">
        <v>0</v>
      </c>
      <c r="H193" s="9">
        <v>0</v>
      </c>
      <c r="I193" s="9">
        <v>0</v>
      </c>
      <c r="J193" s="756"/>
      <c r="K193" s="757"/>
    </row>
    <row r="194" spans="1:11" s="2" customFormat="1">
      <c r="A194" s="753"/>
      <c r="B194" s="754"/>
      <c r="C194" s="755"/>
      <c r="D194" s="55">
        <v>2018</v>
      </c>
      <c r="E194" s="8">
        <f t="shared" si="19"/>
        <v>581.5</v>
      </c>
      <c r="F194" s="8">
        <v>581.5</v>
      </c>
      <c r="G194" s="9">
        <v>0</v>
      </c>
      <c r="H194" s="9">
        <v>0</v>
      </c>
      <c r="I194" s="9">
        <v>0</v>
      </c>
      <c r="J194" s="756"/>
      <c r="K194" s="757"/>
    </row>
    <row r="195" spans="1:11" s="2" customFormat="1">
      <c r="A195" s="753"/>
      <c r="B195" s="754"/>
      <c r="C195" s="755"/>
      <c r="D195" s="55">
        <v>2019</v>
      </c>
      <c r="E195" s="8">
        <f>SUM(F195:I195)</f>
        <v>581.5</v>
      </c>
      <c r="F195" s="8">
        <v>581.5</v>
      </c>
      <c r="G195" s="9">
        <v>0</v>
      </c>
      <c r="H195" s="9">
        <v>0</v>
      </c>
      <c r="I195" s="9">
        <v>0</v>
      </c>
      <c r="J195" s="756"/>
      <c r="K195" s="757"/>
    </row>
    <row r="196" spans="1:11" s="2" customFormat="1">
      <c r="A196" s="753"/>
      <c r="B196" s="754"/>
      <c r="C196" s="755"/>
      <c r="D196" s="55">
        <v>2020</v>
      </c>
      <c r="E196" s="8">
        <f>SUM(F196:I196)</f>
        <v>581.5</v>
      </c>
      <c r="F196" s="8">
        <v>581.5</v>
      </c>
      <c r="G196" s="9">
        <v>0</v>
      </c>
      <c r="H196" s="9">
        <v>0</v>
      </c>
      <c r="I196" s="9">
        <v>0</v>
      </c>
      <c r="J196" s="756"/>
      <c r="K196" s="757"/>
    </row>
    <row r="197" spans="1:11" s="2" customFormat="1" ht="15.75" customHeight="1">
      <c r="A197" s="753" t="s">
        <v>212</v>
      </c>
      <c r="B197" s="754" t="s">
        <v>72</v>
      </c>
      <c r="C197" s="755">
        <v>2016</v>
      </c>
      <c r="D197" s="57" t="s">
        <v>8</v>
      </c>
      <c r="E197" s="8">
        <f t="shared" si="19"/>
        <v>1100</v>
      </c>
      <c r="F197" s="8">
        <f>SUM(F198:F202)</f>
        <v>1100</v>
      </c>
      <c r="G197" s="8">
        <f>SUM(G198:G202)</f>
        <v>0</v>
      </c>
      <c r="H197" s="8">
        <f>SUM(H198:H202)</f>
        <v>0</v>
      </c>
      <c r="I197" s="8">
        <f>SUM(I198:I202)</f>
        <v>0</v>
      </c>
      <c r="J197" s="756" t="s">
        <v>73</v>
      </c>
      <c r="K197" s="757" t="s">
        <v>66</v>
      </c>
    </row>
    <row r="198" spans="1:11" s="2" customFormat="1">
      <c r="A198" s="753"/>
      <c r="B198" s="754"/>
      <c r="C198" s="755"/>
      <c r="D198" s="57">
        <v>2016</v>
      </c>
      <c r="E198" s="8">
        <f t="shared" si="19"/>
        <v>1100</v>
      </c>
      <c r="F198" s="8">
        <v>1100</v>
      </c>
      <c r="G198" s="9">
        <v>0</v>
      </c>
      <c r="H198" s="9">
        <v>0</v>
      </c>
      <c r="I198" s="9">
        <v>0</v>
      </c>
      <c r="J198" s="756"/>
      <c r="K198" s="757"/>
    </row>
    <row r="199" spans="1:11" s="2" customFormat="1">
      <c r="A199" s="753"/>
      <c r="B199" s="754"/>
      <c r="C199" s="755"/>
      <c r="D199" s="57">
        <v>2017</v>
      </c>
      <c r="E199" s="8">
        <f t="shared" si="19"/>
        <v>0</v>
      </c>
      <c r="F199" s="9">
        <v>0</v>
      </c>
      <c r="G199" s="9">
        <v>0</v>
      </c>
      <c r="H199" s="9">
        <v>0</v>
      </c>
      <c r="I199" s="9">
        <v>0</v>
      </c>
      <c r="J199" s="756"/>
      <c r="K199" s="757"/>
    </row>
    <row r="200" spans="1:11" s="2" customFormat="1">
      <c r="A200" s="753"/>
      <c r="B200" s="754"/>
      <c r="C200" s="755"/>
      <c r="D200" s="57">
        <v>2018</v>
      </c>
      <c r="E200" s="8">
        <f t="shared" si="19"/>
        <v>0</v>
      </c>
      <c r="F200" s="9">
        <v>0</v>
      </c>
      <c r="G200" s="9">
        <v>0</v>
      </c>
      <c r="H200" s="9">
        <v>0</v>
      </c>
      <c r="I200" s="9">
        <v>0</v>
      </c>
      <c r="J200" s="756"/>
      <c r="K200" s="757"/>
    </row>
    <row r="201" spans="1:11" s="2" customFormat="1">
      <c r="A201" s="753"/>
      <c r="B201" s="754"/>
      <c r="C201" s="755"/>
      <c r="D201" s="57">
        <v>2019</v>
      </c>
      <c r="E201" s="8">
        <f>SUM(F201:I201)</f>
        <v>0</v>
      </c>
      <c r="F201" s="9">
        <v>0</v>
      </c>
      <c r="G201" s="9">
        <v>0</v>
      </c>
      <c r="H201" s="9">
        <v>0</v>
      </c>
      <c r="I201" s="9">
        <v>0</v>
      </c>
      <c r="J201" s="756"/>
      <c r="K201" s="757"/>
    </row>
    <row r="202" spans="1:11" s="2" customFormat="1">
      <c r="A202" s="753"/>
      <c r="B202" s="754"/>
      <c r="C202" s="755"/>
      <c r="D202" s="57">
        <v>2020</v>
      </c>
      <c r="E202" s="8">
        <f>SUM(F202:I202)</f>
        <v>0</v>
      </c>
      <c r="F202" s="9">
        <v>0</v>
      </c>
      <c r="G202" s="9">
        <v>0</v>
      </c>
      <c r="H202" s="9">
        <v>0</v>
      </c>
      <c r="I202" s="9">
        <v>0</v>
      </c>
      <c r="J202" s="756"/>
      <c r="K202" s="757"/>
    </row>
    <row r="203" spans="1:11" s="2" customFormat="1" ht="15.75" customHeight="1">
      <c r="A203" s="753" t="s">
        <v>213</v>
      </c>
      <c r="B203" s="754" t="s">
        <v>74</v>
      </c>
      <c r="C203" s="755">
        <v>2017</v>
      </c>
      <c r="D203" s="57" t="s">
        <v>8</v>
      </c>
      <c r="E203" s="8">
        <f t="shared" si="19"/>
        <v>1850</v>
      </c>
      <c r="F203" s="8">
        <f>SUM(F204:F208)</f>
        <v>1850</v>
      </c>
      <c r="G203" s="8">
        <f>SUM(G204:G208)</f>
        <v>0</v>
      </c>
      <c r="H203" s="8">
        <f>SUM(H204:H208)</f>
        <v>0</v>
      </c>
      <c r="I203" s="8">
        <f>SUM(I204:I208)</f>
        <v>0</v>
      </c>
      <c r="J203" s="754" t="s">
        <v>75</v>
      </c>
      <c r="K203" s="757" t="s">
        <v>66</v>
      </c>
    </row>
    <row r="204" spans="1:11" s="2" customFormat="1">
      <c r="A204" s="753"/>
      <c r="B204" s="754"/>
      <c r="C204" s="755"/>
      <c r="D204" s="57">
        <v>2016</v>
      </c>
      <c r="E204" s="8">
        <f t="shared" si="19"/>
        <v>0</v>
      </c>
      <c r="F204" s="8">
        <v>0</v>
      </c>
      <c r="G204" s="9">
        <v>0</v>
      </c>
      <c r="H204" s="9">
        <v>0</v>
      </c>
      <c r="I204" s="9">
        <v>0</v>
      </c>
      <c r="J204" s="754"/>
      <c r="K204" s="757"/>
    </row>
    <row r="205" spans="1:11" s="2" customFormat="1">
      <c r="A205" s="753"/>
      <c r="B205" s="754"/>
      <c r="C205" s="755"/>
      <c r="D205" s="57">
        <v>2017</v>
      </c>
      <c r="E205" s="8">
        <f t="shared" si="19"/>
        <v>1850</v>
      </c>
      <c r="F205" s="9">
        <v>1850</v>
      </c>
      <c r="G205" s="9">
        <v>0</v>
      </c>
      <c r="H205" s="9">
        <v>0</v>
      </c>
      <c r="I205" s="9">
        <v>0</v>
      </c>
      <c r="J205" s="754"/>
      <c r="K205" s="757"/>
    </row>
    <row r="206" spans="1:11" s="2" customFormat="1">
      <c r="A206" s="753"/>
      <c r="B206" s="754"/>
      <c r="C206" s="755"/>
      <c r="D206" s="57">
        <v>2018</v>
      </c>
      <c r="E206" s="8">
        <f t="shared" si="19"/>
        <v>0</v>
      </c>
      <c r="F206" s="9">
        <v>0</v>
      </c>
      <c r="G206" s="9">
        <v>0</v>
      </c>
      <c r="H206" s="9">
        <v>0</v>
      </c>
      <c r="I206" s="9">
        <v>0</v>
      </c>
      <c r="J206" s="754"/>
      <c r="K206" s="757"/>
    </row>
    <row r="207" spans="1:11" s="2" customFormat="1">
      <c r="A207" s="753"/>
      <c r="B207" s="754"/>
      <c r="C207" s="755"/>
      <c r="D207" s="57">
        <v>2019</v>
      </c>
      <c r="E207" s="8">
        <f t="shared" si="19"/>
        <v>0</v>
      </c>
      <c r="F207" s="9">
        <v>0</v>
      </c>
      <c r="G207" s="9">
        <v>0</v>
      </c>
      <c r="H207" s="9">
        <v>0</v>
      </c>
      <c r="I207" s="9">
        <v>0</v>
      </c>
      <c r="J207" s="754"/>
      <c r="K207" s="757"/>
    </row>
    <row r="208" spans="1:11" s="2" customFormat="1">
      <c r="A208" s="753"/>
      <c r="B208" s="754"/>
      <c r="C208" s="755"/>
      <c r="D208" s="57">
        <v>2020</v>
      </c>
      <c r="E208" s="8">
        <f t="shared" ref="E208:E214" si="20">SUM(F208:I208)</f>
        <v>0</v>
      </c>
      <c r="F208" s="9">
        <v>0</v>
      </c>
      <c r="G208" s="9">
        <v>0</v>
      </c>
      <c r="H208" s="9">
        <v>0</v>
      </c>
      <c r="I208" s="9">
        <v>0</v>
      </c>
      <c r="J208" s="754"/>
      <c r="K208" s="757"/>
    </row>
    <row r="209" spans="1:11" s="2" customFormat="1" ht="15.75" customHeight="1">
      <c r="A209" s="753" t="s">
        <v>214</v>
      </c>
      <c r="B209" s="754" t="s">
        <v>158</v>
      </c>
      <c r="C209" s="755">
        <v>2017</v>
      </c>
      <c r="D209" s="57" t="s">
        <v>8</v>
      </c>
      <c r="E209" s="8">
        <f t="shared" si="20"/>
        <v>25000</v>
      </c>
      <c r="F209" s="8">
        <f>SUM(F210:F214)</f>
        <v>25000</v>
      </c>
      <c r="G209" s="8">
        <f>SUM(G210:G214)</f>
        <v>0</v>
      </c>
      <c r="H209" s="8">
        <f>SUM(H210:H214)</f>
        <v>0</v>
      </c>
      <c r="I209" s="8">
        <f>SUM(I210:I214)</f>
        <v>0</v>
      </c>
      <c r="J209" s="754" t="s">
        <v>159</v>
      </c>
      <c r="K209" s="757" t="s">
        <v>66</v>
      </c>
    </row>
    <row r="210" spans="1:11" s="2" customFormat="1">
      <c r="A210" s="753"/>
      <c r="B210" s="754"/>
      <c r="C210" s="755"/>
      <c r="D210" s="57">
        <v>2016</v>
      </c>
      <c r="E210" s="8">
        <f t="shared" si="20"/>
        <v>0</v>
      </c>
      <c r="F210" s="8">
        <v>0</v>
      </c>
      <c r="G210" s="9">
        <v>0</v>
      </c>
      <c r="H210" s="9">
        <v>0</v>
      </c>
      <c r="I210" s="9">
        <v>0</v>
      </c>
      <c r="J210" s="754"/>
      <c r="K210" s="757"/>
    </row>
    <row r="211" spans="1:11" s="2" customFormat="1">
      <c r="A211" s="753"/>
      <c r="B211" s="754"/>
      <c r="C211" s="755"/>
      <c r="D211" s="57">
        <v>2017</v>
      </c>
      <c r="E211" s="8">
        <f t="shared" si="20"/>
        <v>25000</v>
      </c>
      <c r="F211" s="9">
        <v>25000</v>
      </c>
      <c r="G211" s="9">
        <v>0</v>
      </c>
      <c r="H211" s="9">
        <v>0</v>
      </c>
      <c r="I211" s="9">
        <v>0</v>
      </c>
      <c r="J211" s="754"/>
      <c r="K211" s="757"/>
    </row>
    <row r="212" spans="1:11" s="2" customFormat="1">
      <c r="A212" s="753"/>
      <c r="B212" s="754"/>
      <c r="C212" s="755"/>
      <c r="D212" s="57">
        <v>2018</v>
      </c>
      <c r="E212" s="8">
        <f t="shared" si="20"/>
        <v>0</v>
      </c>
      <c r="F212" s="9">
        <v>0</v>
      </c>
      <c r="G212" s="9">
        <v>0</v>
      </c>
      <c r="H212" s="9">
        <v>0</v>
      </c>
      <c r="I212" s="9">
        <v>0</v>
      </c>
      <c r="J212" s="754"/>
      <c r="K212" s="757"/>
    </row>
    <row r="213" spans="1:11" s="2" customFormat="1">
      <c r="A213" s="753"/>
      <c r="B213" s="754"/>
      <c r="C213" s="755"/>
      <c r="D213" s="57">
        <v>2019</v>
      </c>
      <c r="E213" s="8">
        <f t="shared" si="20"/>
        <v>0</v>
      </c>
      <c r="F213" s="9">
        <v>0</v>
      </c>
      <c r="G213" s="9">
        <v>0</v>
      </c>
      <c r="H213" s="9">
        <v>0</v>
      </c>
      <c r="I213" s="9">
        <v>0</v>
      </c>
      <c r="J213" s="754"/>
      <c r="K213" s="757"/>
    </row>
    <row r="214" spans="1:11" s="2" customFormat="1">
      <c r="A214" s="753"/>
      <c r="B214" s="754"/>
      <c r="C214" s="755"/>
      <c r="D214" s="57">
        <v>2020</v>
      </c>
      <c r="E214" s="8">
        <f t="shared" si="20"/>
        <v>0</v>
      </c>
      <c r="F214" s="9">
        <v>0</v>
      </c>
      <c r="G214" s="9">
        <v>0</v>
      </c>
      <c r="H214" s="9">
        <v>0</v>
      </c>
      <c r="I214" s="9">
        <v>0</v>
      </c>
      <c r="J214" s="754"/>
      <c r="K214" s="757"/>
    </row>
    <row r="215" spans="1:11" s="2" customFormat="1" ht="15" customHeight="1">
      <c r="A215" s="753" t="s">
        <v>76</v>
      </c>
      <c r="B215" s="757" t="s">
        <v>77</v>
      </c>
      <c r="C215" s="755" t="s">
        <v>14</v>
      </c>
      <c r="D215" s="57" t="s">
        <v>8</v>
      </c>
      <c r="E215" s="8">
        <f t="shared" si="19"/>
        <v>1976225.4500000002</v>
      </c>
      <c r="F215" s="8">
        <f>SUM(F216:F220)</f>
        <v>1346288.4500000002</v>
      </c>
      <c r="G215" s="8">
        <f>SUM(G216:G220)</f>
        <v>245565.8</v>
      </c>
      <c r="H215" s="8">
        <f>SUM(H216:H220)</f>
        <v>320271.2</v>
      </c>
      <c r="I215" s="8">
        <f>SUM(I216:I220)</f>
        <v>64100</v>
      </c>
      <c r="J215" s="756"/>
      <c r="K215" s="757" t="s">
        <v>78</v>
      </c>
    </row>
    <row r="216" spans="1:11" s="2" customFormat="1">
      <c r="A216" s="753"/>
      <c r="B216" s="757"/>
      <c r="C216" s="755"/>
      <c r="D216" s="57">
        <v>2016</v>
      </c>
      <c r="E216" s="8">
        <f>F216+G216+H216+I216</f>
        <v>165142.70000000001</v>
      </c>
      <c r="F216" s="8">
        <f t="shared" ref="F216:I220" si="21">F222+F300+F414</f>
        <v>112036</v>
      </c>
      <c r="G216" s="8">
        <f t="shared" si="21"/>
        <v>11357.5</v>
      </c>
      <c r="H216" s="8">
        <f t="shared" si="21"/>
        <v>20949.2</v>
      </c>
      <c r="I216" s="8">
        <f t="shared" si="21"/>
        <v>20800</v>
      </c>
      <c r="J216" s="756"/>
      <c r="K216" s="757"/>
    </row>
    <row r="217" spans="1:11" s="2" customFormat="1">
      <c r="A217" s="753"/>
      <c r="B217" s="757"/>
      <c r="C217" s="755"/>
      <c r="D217" s="57">
        <v>2017</v>
      </c>
      <c r="E217" s="8">
        <f>F217+G217+H217+I217</f>
        <v>229531.3</v>
      </c>
      <c r="F217" s="8">
        <f t="shared" si="21"/>
        <v>135945</v>
      </c>
      <c r="G217" s="8">
        <f t="shared" si="21"/>
        <v>11265.5</v>
      </c>
      <c r="H217" s="8">
        <f t="shared" si="21"/>
        <v>67320.800000000003</v>
      </c>
      <c r="I217" s="8">
        <f t="shared" si="21"/>
        <v>15000</v>
      </c>
      <c r="J217" s="756"/>
      <c r="K217" s="757"/>
    </row>
    <row r="218" spans="1:11" s="2" customFormat="1">
      <c r="A218" s="753"/>
      <c r="B218" s="757"/>
      <c r="C218" s="755"/>
      <c r="D218" s="57">
        <v>2018</v>
      </c>
      <c r="E218" s="8">
        <f>F218+G218+H218+I218</f>
        <v>425028.25</v>
      </c>
      <c r="F218" s="8">
        <f t="shared" si="21"/>
        <v>371128.65</v>
      </c>
      <c r="G218" s="8">
        <f t="shared" si="21"/>
        <v>0</v>
      </c>
      <c r="H218" s="8">
        <f t="shared" si="21"/>
        <v>53899.6</v>
      </c>
      <c r="I218" s="8">
        <f t="shared" si="21"/>
        <v>0</v>
      </c>
      <c r="J218" s="756"/>
      <c r="K218" s="757"/>
    </row>
    <row r="219" spans="1:11" s="2" customFormat="1">
      <c r="A219" s="753"/>
      <c r="B219" s="757"/>
      <c r="C219" s="755"/>
      <c r="D219" s="57">
        <v>2019</v>
      </c>
      <c r="E219" s="8">
        <f>F219+G219+H219+I219</f>
        <v>776658.2</v>
      </c>
      <c r="F219" s="8">
        <f t="shared" si="21"/>
        <v>522074.2</v>
      </c>
      <c r="G219" s="8">
        <f t="shared" si="21"/>
        <v>111471.4</v>
      </c>
      <c r="H219" s="8">
        <f t="shared" si="21"/>
        <v>114812.6</v>
      </c>
      <c r="I219" s="8">
        <f t="shared" si="21"/>
        <v>28300</v>
      </c>
      <c r="J219" s="756"/>
      <c r="K219" s="757"/>
    </row>
    <row r="220" spans="1:11" s="2" customFormat="1">
      <c r="A220" s="753"/>
      <c r="B220" s="757"/>
      <c r="C220" s="755"/>
      <c r="D220" s="57">
        <v>2020</v>
      </c>
      <c r="E220" s="8">
        <f>F220+G220+H220+I220</f>
        <v>379865</v>
      </c>
      <c r="F220" s="8">
        <f t="shared" si="21"/>
        <v>205104.6</v>
      </c>
      <c r="G220" s="8">
        <f t="shared" si="21"/>
        <v>111471.4</v>
      </c>
      <c r="H220" s="8">
        <f t="shared" si="21"/>
        <v>63289</v>
      </c>
      <c r="I220" s="8">
        <f t="shared" si="21"/>
        <v>0</v>
      </c>
      <c r="J220" s="756"/>
      <c r="K220" s="757"/>
    </row>
    <row r="221" spans="1:11" s="2" customFormat="1" ht="15.95" customHeight="1">
      <c r="A221" s="753" t="s">
        <v>178</v>
      </c>
      <c r="B221" s="754" t="s">
        <v>80</v>
      </c>
      <c r="C221" s="755" t="s">
        <v>14</v>
      </c>
      <c r="D221" s="57" t="s">
        <v>8</v>
      </c>
      <c r="E221" s="8">
        <f>SUM(F221:I221)</f>
        <v>1297840.6499999999</v>
      </c>
      <c r="F221" s="8">
        <f>SUM(F222:F226)</f>
        <v>976736.25</v>
      </c>
      <c r="G221" s="8">
        <f>SUM(G222:G225)</f>
        <v>111471.4</v>
      </c>
      <c r="H221" s="8">
        <f>SUM(H222:H226)</f>
        <v>173833</v>
      </c>
      <c r="I221" s="8">
        <f>SUM(I222:I225)</f>
        <v>35800</v>
      </c>
      <c r="J221" s="756" t="s">
        <v>81</v>
      </c>
      <c r="K221" s="757" t="s">
        <v>82</v>
      </c>
    </row>
    <row r="222" spans="1:11" s="2" customFormat="1" ht="15.95" customHeight="1">
      <c r="A222" s="753"/>
      <c r="B222" s="754"/>
      <c r="C222" s="755"/>
      <c r="D222" s="57">
        <v>2016</v>
      </c>
      <c r="E222" s="8">
        <f>F222+G222+H222+I222</f>
        <v>76401.7</v>
      </c>
      <c r="F222" s="8">
        <f t="shared" ref="F222:I226" si="22">SUM(F228,F234,F240,F246,F252,F258,F264,F270,F276,F282,F288,F294)</f>
        <v>38301.699999999997</v>
      </c>
      <c r="G222" s="8">
        <f t="shared" si="22"/>
        <v>0</v>
      </c>
      <c r="H222" s="8">
        <f t="shared" si="22"/>
        <v>17300</v>
      </c>
      <c r="I222" s="8">
        <f t="shared" si="22"/>
        <v>20800</v>
      </c>
      <c r="J222" s="756"/>
      <c r="K222" s="757"/>
    </row>
    <row r="223" spans="1:11" s="2" customFormat="1" ht="15.95" customHeight="1">
      <c r="A223" s="753"/>
      <c r="B223" s="754"/>
      <c r="C223" s="755"/>
      <c r="D223" s="57">
        <v>2017</v>
      </c>
      <c r="E223" s="8">
        <f>F223+G223+H223+I223</f>
        <v>165279.4</v>
      </c>
      <c r="F223" s="8">
        <f t="shared" si="22"/>
        <v>85679.4</v>
      </c>
      <c r="G223" s="8">
        <f t="shared" si="22"/>
        <v>0</v>
      </c>
      <c r="H223" s="8">
        <f t="shared" si="22"/>
        <v>64600</v>
      </c>
      <c r="I223" s="8">
        <f t="shared" si="22"/>
        <v>15000</v>
      </c>
      <c r="J223" s="756"/>
      <c r="K223" s="757"/>
    </row>
    <row r="224" spans="1:11" s="2" customFormat="1" ht="15.95" customHeight="1">
      <c r="A224" s="753"/>
      <c r="B224" s="754"/>
      <c r="C224" s="755"/>
      <c r="D224" s="57">
        <v>2018</v>
      </c>
      <c r="E224" s="8">
        <f>F224+G224+H224+I224</f>
        <v>363024.95</v>
      </c>
      <c r="F224" s="8">
        <f t="shared" si="22"/>
        <v>321650.85000000003</v>
      </c>
      <c r="G224" s="8">
        <f t="shared" si="22"/>
        <v>0</v>
      </c>
      <c r="H224" s="8">
        <f t="shared" si="22"/>
        <v>41374.1</v>
      </c>
      <c r="I224" s="8">
        <f t="shared" si="22"/>
        <v>0</v>
      </c>
      <c r="J224" s="756"/>
      <c r="K224" s="757"/>
    </row>
    <row r="225" spans="1:11" s="2" customFormat="1" ht="15.95" customHeight="1">
      <c r="A225" s="753"/>
      <c r="B225" s="754"/>
      <c r="C225" s="755"/>
      <c r="D225" s="57">
        <v>2019</v>
      </c>
      <c r="E225" s="8">
        <f>F225+G225+H225+I225</f>
        <v>555441</v>
      </c>
      <c r="F225" s="8">
        <f t="shared" si="22"/>
        <v>394349.7</v>
      </c>
      <c r="G225" s="8">
        <f t="shared" si="22"/>
        <v>111471.4</v>
      </c>
      <c r="H225" s="8">
        <f t="shared" si="22"/>
        <v>49619.9</v>
      </c>
      <c r="I225" s="8">
        <f t="shared" si="22"/>
        <v>0</v>
      </c>
      <c r="J225" s="756"/>
      <c r="K225" s="757"/>
    </row>
    <row r="226" spans="1:11" s="2" customFormat="1" ht="15.95" customHeight="1">
      <c r="A226" s="753"/>
      <c r="B226" s="754"/>
      <c r="C226" s="755"/>
      <c r="D226" s="57">
        <v>2020</v>
      </c>
      <c r="E226" s="8">
        <f>F226+G226+H226+I226</f>
        <v>249165</v>
      </c>
      <c r="F226" s="8">
        <f t="shared" si="22"/>
        <v>136754.6</v>
      </c>
      <c r="G226" s="8">
        <f t="shared" si="22"/>
        <v>111471.4</v>
      </c>
      <c r="H226" s="8">
        <f t="shared" si="22"/>
        <v>939</v>
      </c>
      <c r="I226" s="8">
        <f t="shared" si="22"/>
        <v>0</v>
      </c>
      <c r="J226" s="756"/>
      <c r="K226" s="757"/>
    </row>
    <row r="227" spans="1:11" s="2" customFormat="1" ht="15" customHeight="1">
      <c r="A227" s="763" t="s">
        <v>79</v>
      </c>
      <c r="B227" s="754" t="s">
        <v>83</v>
      </c>
      <c r="C227" s="755" t="s">
        <v>160</v>
      </c>
      <c r="D227" s="57" t="s">
        <v>8</v>
      </c>
      <c r="E227" s="8">
        <f t="shared" ref="E227:E261" si="23">SUM(F227:I227)</f>
        <v>25587.5</v>
      </c>
      <c r="F227" s="8">
        <f>SUM(F228:F232)</f>
        <v>25587.5</v>
      </c>
      <c r="G227" s="8">
        <f>SUM(G228:G232)</f>
        <v>0</v>
      </c>
      <c r="H227" s="8">
        <f>SUM(H228:H232)</f>
        <v>0</v>
      </c>
      <c r="I227" s="8">
        <f>SUM(I228:I232)</f>
        <v>0</v>
      </c>
      <c r="J227" s="756" t="s">
        <v>161</v>
      </c>
      <c r="K227" s="757" t="s">
        <v>85</v>
      </c>
    </row>
    <row r="228" spans="1:11" s="2" customFormat="1">
      <c r="A228" s="753"/>
      <c r="B228" s="754"/>
      <c r="C228" s="755"/>
      <c r="D228" s="57">
        <v>2016</v>
      </c>
      <c r="E228" s="8">
        <f t="shared" si="23"/>
        <v>25587.5</v>
      </c>
      <c r="F228" s="9">
        <v>25587.5</v>
      </c>
      <c r="G228" s="9">
        <v>0</v>
      </c>
      <c r="H228" s="9">
        <v>0</v>
      </c>
      <c r="I228" s="9">
        <v>0</v>
      </c>
      <c r="J228" s="756"/>
      <c r="K228" s="757"/>
    </row>
    <row r="229" spans="1:11" s="2" customFormat="1">
      <c r="A229" s="753"/>
      <c r="B229" s="754"/>
      <c r="C229" s="755"/>
      <c r="D229" s="57">
        <v>2017</v>
      </c>
      <c r="E229" s="8">
        <f t="shared" si="23"/>
        <v>0</v>
      </c>
      <c r="F229" s="9">
        <v>0</v>
      </c>
      <c r="G229" s="9">
        <v>0</v>
      </c>
      <c r="H229" s="9">
        <v>0</v>
      </c>
      <c r="I229" s="9">
        <v>0</v>
      </c>
      <c r="J229" s="756"/>
      <c r="K229" s="757"/>
    </row>
    <row r="230" spans="1:11" s="2" customFormat="1">
      <c r="A230" s="753"/>
      <c r="B230" s="754"/>
      <c r="C230" s="755"/>
      <c r="D230" s="57">
        <v>2018</v>
      </c>
      <c r="E230" s="8">
        <f t="shared" si="23"/>
        <v>0</v>
      </c>
      <c r="F230" s="9">
        <v>0</v>
      </c>
      <c r="G230" s="9">
        <v>0</v>
      </c>
      <c r="H230" s="9">
        <v>0</v>
      </c>
      <c r="I230" s="9">
        <v>0</v>
      </c>
      <c r="J230" s="756"/>
      <c r="K230" s="757"/>
    </row>
    <row r="231" spans="1:11" s="2" customFormat="1">
      <c r="A231" s="753"/>
      <c r="B231" s="754"/>
      <c r="C231" s="755"/>
      <c r="D231" s="57">
        <v>2019</v>
      </c>
      <c r="E231" s="8">
        <f>SUM(F231:I231)</f>
        <v>0</v>
      </c>
      <c r="F231" s="9">
        <v>0</v>
      </c>
      <c r="G231" s="9">
        <v>0</v>
      </c>
      <c r="H231" s="9">
        <v>0</v>
      </c>
      <c r="I231" s="9">
        <v>0</v>
      </c>
      <c r="J231" s="756"/>
      <c r="K231" s="757"/>
    </row>
    <row r="232" spans="1:11" s="2" customFormat="1">
      <c r="A232" s="753"/>
      <c r="B232" s="754"/>
      <c r="C232" s="755"/>
      <c r="D232" s="57">
        <v>2020</v>
      </c>
      <c r="E232" s="8">
        <f>SUM(F232:I232)</f>
        <v>0</v>
      </c>
      <c r="F232" s="9">
        <v>0</v>
      </c>
      <c r="G232" s="9">
        <v>0</v>
      </c>
      <c r="H232" s="9">
        <v>0</v>
      </c>
      <c r="I232" s="9">
        <v>0</v>
      </c>
      <c r="J232" s="756"/>
      <c r="K232" s="757"/>
    </row>
    <row r="233" spans="1:11" s="10" customFormat="1" ht="13.5" customHeight="1">
      <c r="A233" s="763" t="s">
        <v>215</v>
      </c>
      <c r="B233" s="754" t="s">
        <v>216</v>
      </c>
      <c r="C233" s="755" t="s">
        <v>86</v>
      </c>
      <c r="D233" s="55" t="s">
        <v>8</v>
      </c>
      <c r="E233" s="8">
        <f t="shared" ref="E233:E238" si="24">SUM(F233:I233)</f>
        <v>21750</v>
      </c>
      <c r="F233" s="8">
        <f>SUM(F234:F238)</f>
        <v>21750</v>
      </c>
      <c r="G233" s="8">
        <f>SUM(G234:G238)</f>
        <v>0</v>
      </c>
      <c r="H233" s="8">
        <f>SUM(H234:H238)</f>
        <v>0</v>
      </c>
      <c r="I233" s="8">
        <f>SUM(I234:I238)</f>
        <v>0</v>
      </c>
      <c r="J233" s="756" t="s">
        <v>87</v>
      </c>
      <c r="K233" s="757" t="s">
        <v>26</v>
      </c>
    </row>
    <row r="234" spans="1:11" s="10" customFormat="1" ht="13.5" customHeight="1">
      <c r="A234" s="753"/>
      <c r="B234" s="754"/>
      <c r="C234" s="755"/>
      <c r="D234" s="55">
        <v>2016</v>
      </c>
      <c r="E234" s="8">
        <f t="shared" si="24"/>
        <v>3750</v>
      </c>
      <c r="F234" s="11">
        <v>3750</v>
      </c>
      <c r="G234" s="9">
        <v>0</v>
      </c>
      <c r="H234" s="9">
        <v>0</v>
      </c>
      <c r="I234" s="9">
        <v>0</v>
      </c>
      <c r="J234" s="756"/>
      <c r="K234" s="757"/>
    </row>
    <row r="235" spans="1:11" s="10" customFormat="1" ht="13.5" customHeight="1">
      <c r="A235" s="753"/>
      <c r="B235" s="754"/>
      <c r="C235" s="755"/>
      <c r="D235" s="55">
        <v>2017</v>
      </c>
      <c r="E235" s="8">
        <f t="shared" si="24"/>
        <v>4500</v>
      </c>
      <c r="F235" s="11">
        <v>4500</v>
      </c>
      <c r="G235" s="9">
        <v>0</v>
      </c>
      <c r="H235" s="9">
        <v>0</v>
      </c>
      <c r="I235" s="9">
        <v>0</v>
      </c>
      <c r="J235" s="756"/>
      <c r="K235" s="757"/>
    </row>
    <row r="236" spans="1:11" s="12" customFormat="1" ht="14.25" customHeight="1">
      <c r="A236" s="753"/>
      <c r="B236" s="754"/>
      <c r="C236" s="755"/>
      <c r="D236" s="55">
        <v>2018</v>
      </c>
      <c r="E236" s="8">
        <f t="shared" si="24"/>
        <v>4500</v>
      </c>
      <c r="F236" s="11">
        <v>4500</v>
      </c>
      <c r="G236" s="9">
        <v>0</v>
      </c>
      <c r="H236" s="9">
        <v>0</v>
      </c>
      <c r="I236" s="9">
        <v>0</v>
      </c>
      <c r="J236" s="756"/>
      <c r="K236" s="757"/>
    </row>
    <row r="237" spans="1:11" s="12" customFormat="1" ht="14.25" customHeight="1">
      <c r="A237" s="753"/>
      <c r="B237" s="754"/>
      <c r="C237" s="755"/>
      <c r="D237" s="55">
        <v>2019</v>
      </c>
      <c r="E237" s="8">
        <f t="shared" si="24"/>
        <v>4500</v>
      </c>
      <c r="F237" s="11">
        <v>4500</v>
      </c>
      <c r="G237" s="9">
        <v>0</v>
      </c>
      <c r="H237" s="9">
        <v>0</v>
      </c>
      <c r="I237" s="9">
        <v>0</v>
      </c>
      <c r="J237" s="756"/>
      <c r="K237" s="757"/>
    </row>
    <row r="238" spans="1:11" s="12" customFormat="1" ht="14.25" customHeight="1">
      <c r="A238" s="753"/>
      <c r="B238" s="754"/>
      <c r="C238" s="755"/>
      <c r="D238" s="55">
        <v>2020</v>
      </c>
      <c r="E238" s="8">
        <f t="shared" si="24"/>
        <v>4500</v>
      </c>
      <c r="F238" s="11">
        <v>4500</v>
      </c>
      <c r="G238" s="9">
        <v>0</v>
      </c>
      <c r="H238" s="9">
        <v>0</v>
      </c>
      <c r="I238" s="9">
        <v>0</v>
      </c>
      <c r="J238" s="756"/>
      <c r="K238" s="757"/>
    </row>
    <row r="239" spans="1:11" s="10" customFormat="1" ht="14.25" customHeight="1">
      <c r="A239" s="753" t="s">
        <v>217</v>
      </c>
      <c r="B239" s="754" t="s">
        <v>88</v>
      </c>
      <c r="C239" s="755" t="s">
        <v>162</v>
      </c>
      <c r="D239" s="55" t="s">
        <v>8</v>
      </c>
      <c r="E239" s="8">
        <f t="shared" si="23"/>
        <v>48012.05</v>
      </c>
      <c r="F239" s="8">
        <f>SUM(F240:F244)</f>
        <v>48012.05</v>
      </c>
      <c r="G239" s="8">
        <f>SUM(G240:G244)</f>
        <v>0</v>
      </c>
      <c r="H239" s="8">
        <f>SUM(H240:H244)</f>
        <v>0</v>
      </c>
      <c r="I239" s="8">
        <f>SUM(I240:I244)</f>
        <v>0</v>
      </c>
      <c r="J239" s="756" t="s">
        <v>170</v>
      </c>
      <c r="K239" s="757" t="s">
        <v>89</v>
      </c>
    </row>
    <row r="240" spans="1:11" s="10" customFormat="1" ht="13.5" customHeight="1">
      <c r="A240" s="753"/>
      <c r="B240" s="754"/>
      <c r="C240" s="755"/>
      <c r="D240" s="55">
        <v>2016</v>
      </c>
      <c r="E240" s="8">
        <f t="shared" si="23"/>
        <v>1866</v>
      </c>
      <c r="F240" s="9">
        <v>1866</v>
      </c>
      <c r="G240" s="9">
        <v>0</v>
      </c>
      <c r="H240" s="9">
        <v>0</v>
      </c>
      <c r="I240" s="9">
        <v>0</v>
      </c>
      <c r="J240" s="756"/>
      <c r="K240" s="757"/>
    </row>
    <row r="241" spans="1:11" s="10" customFormat="1" ht="13.5" customHeight="1">
      <c r="A241" s="753"/>
      <c r="B241" s="754"/>
      <c r="C241" s="755"/>
      <c r="D241" s="55">
        <v>2017</v>
      </c>
      <c r="E241" s="8">
        <f t="shared" si="23"/>
        <v>99</v>
      </c>
      <c r="F241" s="9">
        <v>99</v>
      </c>
      <c r="G241" s="9">
        <v>0</v>
      </c>
      <c r="H241" s="9">
        <v>0</v>
      </c>
      <c r="I241" s="9">
        <v>0</v>
      </c>
      <c r="J241" s="756"/>
      <c r="K241" s="757"/>
    </row>
    <row r="242" spans="1:11" s="12" customFormat="1" ht="14.25" customHeight="1">
      <c r="A242" s="753"/>
      <c r="B242" s="754"/>
      <c r="C242" s="755"/>
      <c r="D242" s="55">
        <v>2018</v>
      </c>
      <c r="E242" s="8">
        <f t="shared" si="23"/>
        <v>31489.75</v>
      </c>
      <c r="F242" s="9">
        <v>31489.75</v>
      </c>
      <c r="G242" s="9">
        <v>0</v>
      </c>
      <c r="H242" s="9">
        <v>0</v>
      </c>
      <c r="I242" s="9">
        <v>0</v>
      </c>
      <c r="J242" s="756"/>
      <c r="K242" s="757"/>
    </row>
    <row r="243" spans="1:11" s="12" customFormat="1" ht="14.25" customHeight="1">
      <c r="A243" s="753"/>
      <c r="B243" s="754"/>
      <c r="C243" s="755"/>
      <c r="D243" s="55">
        <v>2019</v>
      </c>
      <c r="E243" s="8">
        <f>SUM(F243:I243)</f>
        <v>14557.3</v>
      </c>
      <c r="F243" s="9">
        <v>14557.3</v>
      </c>
      <c r="G243" s="9">
        <v>0</v>
      </c>
      <c r="H243" s="9">
        <v>0</v>
      </c>
      <c r="I243" s="9">
        <v>0</v>
      </c>
      <c r="J243" s="756"/>
      <c r="K243" s="757"/>
    </row>
    <row r="244" spans="1:11" s="12" customFormat="1" ht="14.25" customHeight="1">
      <c r="A244" s="753"/>
      <c r="B244" s="754"/>
      <c r="C244" s="755"/>
      <c r="D244" s="55">
        <v>2020</v>
      </c>
      <c r="E244" s="8">
        <f>SUM(F244:I244)</f>
        <v>0</v>
      </c>
      <c r="F244" s="9">
        <v>0</v>
      </c>
      <c r="G244" s="9">
        <v>0</v>
      </c>
      <c r="H244" s="9">
        <v>0</v>
      </c>
      <c r="I244" s="9">
        <v>0</v>
      </c>
      <c r="J244" s="756"/>
      <c r="K244" s="757"/>
    </row>
    <row r="245" spans="1:11" s="10" customFormat="1" ht="13.5" customHeight="1">
      <c r="A245" s="753" t="s">
        <v>218</v>
      </c>
      <c r="B245" s="754" t="s">
        <v>287</v>
      </c>
      <c r="C245" s="755" t="s">
        <v>162</v>
      </c>
      <c r="D245" s="57" t="s">
        <v>8</v>
      </c>
      <c r="E245" s="8">
        <f t="shared" si="23"/>
        <v>209820.7</v>
      </c>
      <c r="F245" s="8">
        <f>SUM(F246:F250)</f>
        <v>101232.7</v>
      </c>
      <c r="G245" s="8">
        <f>SUM(G246:G250)</f>
        <v>0</v>
      </c>
      <c r="H245" s="8">
        <f>SUM(H246:H250)</f>
        <v>108588</v>
      </c>
      <c r="I245" s="8">
        <f>SUM(I246:I250)</f>
        <v>0</v>
      </c>
      <c r="J245" s="756" t="s">
        <v>288</v>
      </c>
      <c r="K245" s="757" t="s">
        <v>90</v>
      </c>
    </row>
    <row r="246" spans="1:11" s="10" customFormat="1" ht="13.5" customHeight="1">
      <c r="A246" s="753"/>
      <c r="B246" s="754"/>
      <c r="C246" s="755"/>
      <c r="D246" s="57">
        <v>2016</v>
      </c>
      <c r="E246" s="8">
        <f t="shared" si="23"/>
        <v>4600</v>
      </c>
      <c r="F246" s="9">
        <v>2300</v>
      </c>
      <c r="G246" s="9">
        <v>0</v>
      </c>
      <c r="H246" s="9">
        <v>2300</v>
      </c>
      <c r="I246" s="9">
        <v>0</v>
      </c>
      <c r="J246" s="756"/>
      <c r="K246" s="757"/>
    </row>
    <row r="247" spans="1:11" s="10" customFormat="1" ht="13.5" customHeight="1">
      <c r="A247" s="753"/>
      <c r="B247" s="754"/>
      <c r="C247" s="755"/>
      <c r="D247" s="57">
        <v>2017</v>
      </c>
      <c r="E247" s="8">
        <f t="shared" si="23"/>
        <v>40000</v>
      </c>
      <c r="F247" s="9">
        <v>20000</v>
      </c>
      <c r="G247" s="9">
        <v>0</v>
      </c>
      <c r="H247" s="9">
        <v>20000</v>
      </c>
      <c r="I247" s="9">
        <v>0</v>
      </c>
      <c r="J247" s="756"/>
      <c r="K247" s="757"/>
    </row>
    <row r="248" spans="1:11" s="12" customFormat="1" ht="14.25" customHeight="1">
      <c r="A248" s="753"/>
      <c r="B248" s="754"/>
      <c r="C248" s="755"/>
      <c r="D248" s="55">
        <v>2018</v>
      </c>
      <c r="E248" s="8">
        <f t="shared" si="23"/>
        <v>64220.7</v>
      </c>
      <c r="F248" s="9">
        <v>24998.7</v>
      </c>
      <c r="G248" s="9">
        <v>0</v>
      </c>
      <c r="H248" s="9">
        <v>39222</v>
      </c>
      <c r="I248" s="9">
        <v>0</v>
      </c>
      <c r="J248" s="756"/>
      <c r="K248" s="757"/>
    </row>
    <row r="249" spans="1:11" s="12" customFormat="1" ht="14.25" customHeight="1">
      <c r="A249" s="753"/>
      <c r="B249" s="754"/>
      <c r="C249" s="755"/>
      <c r="D249" s="58">
        <v>2019</v>
      </c>
      <c r="E249" s="59">
        <f t="shared" si="23"/>
        <v>101000</v>
      </c>
      <c r="F249" s="60">
        <v>53934</v>
      </c>
      <c r="G249" s="60">
        <v>0</v>
      </c>
      <c r="H249" s="60">
        <v>47066</v>
      </c>
      <c r="I249" s="60">
        <v>0</v>
      </c>
      <c r="J249" s="756"/>
      <c r="K249" s="757"/>
    </row>
    <row r="250" spans="1:11" s="12" customFormat="1" ht="14.25" customHeight="1">
      <c r="A250" s="753"/>
      <c r="B250" s="754"/>
      <c r="C250" s="755"/>
      <c r="D250" s="58">
        <v>2020</v>
      </c>
      <c r="E250" s="59">
        <f t="shared" si="23"/>
        <v>0</v>
      </c>
      <c r="F250" s="60"/>
      <c r="G250" s="60">
        <v>0</v>
      </c>
      <c r="H250" s="60"/>
      <c r="I250" s="60">
        <v>0</v>
      </c>
      <c r="J250" s="756"/>
      <c r="K250" s="757"/>
    </row>
    <row r="251" spans="1:11" s="10" customFormat="1" ht="13.5" customHeight="1">
      <c r="A251" s="753" t="s">
        <v>220</v>
      </c>
      <c r="B251" s="754" t="s">
        <v>91</v>
      </c>
      <c r="C251" s="755" t="s">
        <v>30</v>
      </c>
      <c r="D251" s="57" t="s">
        <v>8</v>
      </c>
      <c r="E251" s="8">
        <f t="shared" si="23"/>
        <v>47000</v>
      </c>
      <c r="F251" s="8">
        <f>SUM(F252:F256)</f>
        <v>0</v>
      </c>
      <c r="G251" s="8">
        <f>SUM(G252:G256)</f>
        <v>0</v>
      </c>
      <c r="H251" s="8">
        <f>SUM(H252:H256)</f>
        <v>22000</v>
      </c>
      <c r="I251" s="8">
        <f>SUM(I252:I256)</f>
        <v>25000</v>
      </c>
      <c r="J251" s="756" t="s">
        <v>92</v>
      </c>
      <c r="K251" s="757" t="s">
        <v>93</v>
      </c>
    </row>
    <row r="252" spans="1:11" s="10" customFormat="1" ht="13.5" customHeight="1">
      <c r="A252" s="753"/>
      <c r="B252" s="754"/>
      <c r="C252" s="755"/>
      <c r="D252" s="57">
        <v>2016</v>
      </c>
      <c r="E252" s="8">
        <f t="shared" si="23"/>
        <v>25000</v>
      </c>
      <c r="F252" s="9">
        <v>0</v>
      </c>
      <c r="G252" s="9">
        <v>0</v>
      </c>
      <c r="H252" s="9">
        <v>15000</v>
      </c>
      <c r="I252" s="9">
        <v>10000</v>
      </c>
      <c r="J252" s="756"/>
      <c r="K252" s="757"/>
    </row>
    <row r="253" spans="1:11" s="10" customFormat="1" ht="13.5" customHeight="1">
      <c r="A253" s="753"/>
      <c r="B253" s="754"/>
      <c r="C253" s="755"/>
      <c r="D253" s="57">
        <v>2017</v>
      </c>
      <c r="E253" s="8">
        <f t="shared" si="23"/>
        <v>22000</v>
      </c>
      <c r="F253" s="9">
        <v>0</v>
      </c>
      <c r="G253" s="9">
        <v>0</v>
      </c>
      <c r="H253" s="9">
        <v>7000</v>
      </c>
      <c r="I253" s="9">
        <v>15000</v>
      </c>
      <c r="J253" s="756"/>
      <c r="K253" s="757"/>
    </row>
    <row r="254" spans="1:11" s="12" customFormat="1" ht="14.25" customHeight="1">
      <c r="A254" s="753"/>
      <c r="B254" s="754"/>
      <c r="C254" s="755"/>
      <c r="D254" s="57">
        <v>2018</v>
      </c>
      <c r="E254" s="8">
        <f t="shared" si="23"/>
        <v>0</v>
      </c>
      <c r="F254" s="9">
        <v>0</v>
      </c>
      <c r="G254" s="9">
        <v>0</v>
      </c>
      <c r="H254" s="9">
        <v>0</v>
      </c>
      <c r="I254" s="9">
        <v>0</v>
      </c>
      <c r="J254" s="756"/>
      <c r="K254" s="757"/>
    </row>
    <row r="255" spans="1:11" s="12" customFormat="1" ht="14.25" customHeight="1">
      <c r="A255" s="753"/>
      <c r="B255" s="754"/>
      <c r="C255" s="755"/>
      <c r="D255" s="57">
        <v>2019</v>
      </c>
      <c r="E255" s="8">
        <f t="shared" si="23"/>
        <v>0</v>
      </c>
      <c r="F255" s="9">
        <v>0</v>
      </c>
      <c r="G255" s="9">
        <v>0</v>
      </c>
      <c r="H255" s="9">
        <v>0</v>
      </c>
      <c r="I255" s="9">
        <v>0</v>
      </c>
      <c r="J255" s="756"/>
      <c r="K255" s="757"/>
    </row>
    <row r="256" spans="1:11" s="12" customFormat="1" ht="14.25" customHeight="1">
      <c r="A256" s="753"/>
      <c r="B256" s="754"/>
      <c r="C256" s="755"/>
      <c r="D256" s="57">
        <v>2020</v>
      </c>
      <c r="E256" s="8">
        <f>SUM(F256:I256)</f>
        <v>0</v>
      </c>
      <c r="F256" s="9">
        <v>0</v>
      </c>
      <c r="G256" s="9">
        <v>0</v>
      </c>
      <c r="H256" s="9">
        <v>0</v>
      </c>
      <c r="I256" s="9">
        <v>0</v>
      </c>
      <c r="J256" s="756"/>
      <c r="K256" s="757"/>
    </row>
    <row r="257" spans="1:11" s="10" customFormat="1" ht="13.5" customHeight="1">
      <c r="A257" s="753" t="s">
        <v>221</v>
      </c>
      <c r="B257" s="754" t="s">
        <v>289</v>
      </c>
      <c r="C257" s="755" t="s">
        <v>95</v>
      </c>
      <c r="D257" s="57" t="s">
        <v>8</v>
      </c>
      <c r="E257" s="8">
        <f t="shared" si="23"/>
        <v>4798.2</v>
      </c>
      <c r="F257" s="8">
        <f>SUM(F258:F262)</f>
        <v>4798.2</v>
      </c>
      <c r="G257" s="8">
        <f>SUM(G258:G262)</f>
        <v>0</v>
      </c>
      <c r="H257" s="8">
        <f>SUM(H258:H262)</f>
        <v>0</v>
      </c>
      <c r="I257" s="8">
        <f>SUM(I258:I262)</f>
        <v>0</v>
      </c>
      <c r="J257" s="756" t="s">
        <v>96</v>
      </c>
      <c r="K257" s="757" t="s">
        <v>89</v>
      </c>
    </row>
    <row r="258" spans="1:11" s="10" customFormat="1" ht="13.5" customHeight="1">
      <c r="A258" s="753"/>
      <c r="B258" s="754"/>
      <c r="C258" s="755"/>
      <c r="D258" s="57">
        <v>2016</v>
      </c>
      <c r="E258" s="8">
        <f t="shared" si="23"/>
        <v>4798.2</v>
      </c>
      <c r="F258" s="9">
        <v>4798.2</v>
      </c>
      <c r="G258" s="9">
        <v>0</v>
      </c>
      <c r="H258" s="9">
        <v>0</v>
      </c>
      <c r="I258" s="9">
        <v>0</v>
      </c>
      <c r="J258" s="756"/>
      <c r="K258" s="757"/>
    </row>
    <row r="259" spans="1:11" s="10" customFormat="1" ht="13.5" customHeight="1">
      <c r="A259" s="753"/>
      <c r="B259" s="754"/>
      <c r="C259" s="755"/>
      <c r="D259" s="57">
        <v>2017</v>
      </c>
      <c r="E259" s="8">
        <f t="shared" si="23"/>
        <v>0</v>
      </c>
      <c r="F259" s="9">
        <v>0</v>
      </c>
      <c r="G259" s="9">
        <v>0</v>
      </c>
      <c r="H259" s="9">
        <v>0</v>
      </c>
      <c r="I259" s="9">
        <v>0</v>
      </c>
      <c r="J259" s="756"/>
      <c r="K259" s="757"/>
    </row>
    <row r="260" spans="1:11" s="12" customFormat="1" ht="14.25" customHeight="1">
      <c r="A260" s="753"/>
      <c r="B260" s="754"/>
      <c r="C260" s="755"/>
      <c r="D260" s="57">
        <v>2018</v>
      </c>
      <c r="E260" s="8">
        <f t="shared" si="23"/>
        <v>0</v>
      </c>
      <c r="F260" s="9">
        <v>0</v>
      </c>
      <c r="G260" s="9">
        <v>0</v>
      </c>
      <c r="H260" s="9">
        <v>0</v>
      </c>
      <c r="I260" s="9">
        <v>0</v>
      </c>
      <c r="J260" s="756"/>
      <c r="K260" s="757"/>
    </row>
    <row r="261" spans="1:11" s="12" customFormat="1" ht="14.25" customHeight="1">
      <c r="A261" s="753"/>
      <c r="B261" s="754"/>
      <c r="C261" s="755"/>
      <c r="D261" s="57">
        <v>2019</v>
      </c>
      <c r="E261" s="8">
        <f t="shared" si="23"/>
        <v>0</v>
      </c>
      <c r="F261" s="9">
        <v>0</v>
      </c>
      <c r="G261" s="9">
        <v>0</v>
      </c>
      <c r="H261" s="9">
        <v>0</v>
      </c>
      <c r="I261" s="9">
        <v>0</v>
      </c>
      <c r="J261" s="756"/>
      <c r="K261" s="757"/>
    </row>
    <row r="262" spans="1:11" s="12" customFormat="1" ht="14.25" customHeight="1">
      <c r="A262" s="753"/>
      <c r="B262" s="754"/>
      <c r="C262" s="755"/>
      <c r="D262" s="57">
        <v>2020</v>
      </c>
      <c r="E262" s="8">
        <f>SUM(F262:I262)</f>
        <v>0</v>
      </c>
      <c r="F262" s="9">
        <v>0</v>
      </c>
      <c r="G262" s="9">
        <v>0</v>
      </c>
      <c r="H262" s="9">
        <v>0</v>
      </c>
      <c r="I262" s="9">
        <v>0</v>
      </c>
      <c r="J262" s="756"/>
      <c r="K262" s="757"/>
    </row>
    <row r="263" spans="1:11" s="10" customFormat="1" ht="19.5" customHeight="1">
      <c r="A263" s="753" t="s">
        <v>222</v>
      </c>
      <c r="B263" s="754" t="s">
        <v>145</v>
      </c>
      <c r="C263" s="755" t="s">
        <v>223</v>
      </c>
      <c r="D263" s="55" t="s">
        <v>8</v>
      </c>
      <c r="E263" s="8">
        <f t="shared" ref="E263:E299" si="25">SUM(F263:I263)</f>
        <v>445885.6</v>
      </c>
      <c r="F263" s="8">
        <f>SUM(F264:F268)</f>
        <v>222942.8</v>
      </c>
      <c r="G263" s="8">
        <f>SUM(G264:G268)</f>
        <v>222942.8</v>
      </c>
      <c r="H263" s="8">
        <f>SUM(H264:H268)</f>
        <v>0</v>
      </c>
      <c r="I263" s="8">
        <f>SUM(I264:I268)</f>
        <v>0</v>
      </c>
      <c r="J263" s="756" t="s">
        <v>224</v>
      </c>
      <c r="K263" s="757" t="s">
        <v>89</v>
      </c>
    </row>
    <row r="264" spans="1:11" s="10" customFormat="1" ht="19.5" customHeight="1">
      <c r="A264" s="753"/>
      <c r="B264" s="754"/>
      <c r="C264" s="755"/>
      <c r="D264" s="55">
        <v>2016</v>
      </c>
      <c r="E264" s="8">
        <f t="shared" si="25"/>
        <v>0</v>
      </c>
      <c r="F264" s="9">
        <v>0</v>
      </c>
      <c r="G264" s="9">
        <v>0</v>
      </c>
      <c r="H264" s="9">
        <v>0</v>
      </c>
      <c r="I264" s="9">
        <v>0</v>
      </c>
      <c r="J264" s="756"/>
      <c r="K264" s="757"/>
    </row>
    <row r="265" spans="1:11" s="10" customFormat="1" ht="19.5" customHeight="1">
      <c r="A265" s="753"/>
      <c r="B265" s="754"/>
      <c r="C265" s="755"/>
      <c r="D265" s="55">
        <v>2017</v>
      </c>
      <c r="E265" s="8">
        <f t="shared" si="25"/>
        <v>0</v>
      </c>
      <c r="F265" s="9">
        <v>0</v>
      </c>
      <c r="G265" s="9">
        <v>0</v>
      </c>
      <c r="H265" s="9">
        <v>0</v>
      </c>
      <c r="I265" s="9">
        <v>0</v>
      </c>
      <c r="J265" s="756"/>
      <c r="K265" s="757"/>
    </row>
    <row r="266" spans="1:11" s="12" customFormat="1" ht="19.5" customHeight="1">
      <c r="A266" s="753"/>
      <c r="B266" s="754"/>
      <c r="C266" s="755"/>
      <c r="D266" s="55">
        <v>2018</v>
      </c>
      <c r="E266" s="8">
        <f t="shared" si="25"/>
        <v>40000</v>
      </c>
      <c r="F266" s="9">
        <v>40000</v>
      </c>
      <c r="G266" s="9">
        <v>0</v>
      </c>
      <c r="H266" s="9">
        <v>0</v>
      </c>
      <c r="I266" s="9">
        <v>0</v>
      </c>
      <c r="J266" s="756"/>
      <c r="K266" s="757"/>
    </row>
    <row r="267" spans="1:11" s="12" customFormat="1" ht="19.5" customHeight="1">
      <c r="A267" s="753"/>
      <c r="B267" s="754"/>
      <c r="C267" s="755"/>
      <c r="D267" s="55" t="s">
        <v>225</v>
      </c>
      <c r="E267" s="8">
        <f t="shared" si="25"/>
        <v>180000</v>
      </c>
      <c r="F267" s="9">
        <v>68528.600000000006</v>
      </c>
      <c r="G267" s="9">
        <v>111471.4</v>
      </c>
      <c r="H267" s="9">
        <v>0</v>
      </c>
      <c r="I267" s="9">
        <v>0</v>
      </c>
      <c r="J267" s="756"/>
      <c r="K267" s="757"/>
    </row>
    <row r="268" spans="1:11" s="12" customFormat="1" ht="19.5" customHeight="1">
      <c r="A268" s="753"/>
      <c r="B268" s="754"/>
      <c r="C268" s="755"/>
      <c r="D268" s="55" t="s">
        <v>226</v>
      </c>
      <c r="E268" s="8">
        <f>SUM(F268:I268)</f>
        <v>225885.59999999998</v>
      </c>
      <c r="F268" s="9">
        <v>114414.2</v>
      </c>
      <c r="G268" s="9">
        <v>111471.4</v>
      </c>
      <c r="H268" s="9">
        <v>0</v>
      </c>
      <c r="I268" s="9">
        <v>0</v>
      </c>
      <c r="J268" s="756"/>
      <c r="K268" s="757"/>
    </row>
    <row r="269" spans="1:11" s="10" customFormat="1" ht="13.5" customHeight="1">
      <c r="A269" s="753" t="s">
        <v>227</v>
      </c>
      <c r="B269" s="754" t="s">
        <v>97</v>
      </c>
      <c r="C269" s="755" t="s">
        <v>162</v>
      </c>
      <c r="D269" s="55" t="s">
        <v>8</v>
      </c>
      <c r="E269" s="8">
        <f t="shared" si="25"/>
        <v>556585.80000000005</v>
      </c>
      <c r="F269" s="8">
        <f>SUM(F270:F274)</f>
        <v>503479.8</v>
      </c>
      <c r="G269" s="8">
        <f>SUM(G270:G274)</f>
        <v>0</v>
      </c>
      <c r="H269" s="8">
        <f>SUM(H270:H274)</f>
        <v>42306</v>
      </c>
      <c r="I269" s="8">
        <f>SUM(I270:I274)</f>
        <v>10800</v>
      </c>
      <c r="J269" s="756" t="s">
        <v>290</v>
      </c>
      <c r="K269" s="757" t="s">
        <v>98</v>
      </c>
    </row>
    <row r="270" spans="1:11" s="10" customFormat="1" ht="13.5" customHeight="1">
      <c r="A270" s="753"/>
      <c r="B270" s="754"/>
      <c r="C270" s="755"/>
      <c r="D270" s="55">
        <v>2016</v>
      </c>
      <c r="E270" s="8">
        <f t="shared" si="25"/>
        <v>10800</v>
      </c>
      <c r="F270" s="9">
        <v>0</v>
      </c>
      <c r="G270" s="9">
        <v>0</v>
      </c>
      <c r="H270" s="9">
        <v>0</v>
      </c>
      <c r="I270" s="9">
        <v>10800</v>
      </c>
      <c r="J270" s="756"/>
      <c r="K270" s="757"/>
    </row>
    <row r="271" spans="1:11" s="10" customFormat="1" ht="13.5" customHeight="1">
      <c r="A271" s="753"/>
      <c r="B271" s="754"/>
      <c r="C271" s="755"/>
      <c r="D271" s="55">
        <v>2017</v>
      </c>
      <c r="E271" s="8">
        <f t="shared" si="25"/>
        <v>75200</v>
      </c>
      <c r="F271" s="9">
        <v>37600</v>
      </c>
      <c r="G271" s="9">
        <v>0</v>
      </c>
      <c r="H271" s="9">
        <v>37600</v>
      </c>
      <c r="I271" s="9">
        <v>0</v>
      </c>
      <c r="J271" s="756"/>
      <c r="K271" s="757"/>
    </row>
    <row r="272" spans="1:11" s="12" customFormat="1" ht="14.25" customHeight="1">
      <c r="A272" s="753"/>
      <c r="B272" s="754"/>
      <c r="C272" s="755"/>
      <c r="D272" s="63">
        <v>2018</v>
      </c>
      <c r="E272" s="8">
        <f t="shared" si="25"/>
        <v>215202.1</v>
      </c>
      <c r="F272" s="9">
        <v>213050</v>
      </c>
      <c r="G272" s="9">
        <v>0</v>
      </c>
      <c r="H272" s="9">
        <v>2152.1</v>
      </c>
      <c r="I272" s="9">
        <v>0</v>
      </c>
      <c r="J272" s="756"/>
      <c r="K272" s="757"/>
    </row>
    <row r="273" spans="1:11" s="12" customFormat="1" ht="14.25" customHeight="1">
      <c r="A273" s="753"/>
      <c r="B273" s="754"/>
      <c r="C273" s="755"/>
      <c r="D273" s="63">
        <v>2019</v>
      </c>
      <c r="E273" s="8">
        <f t="shared" si="25"/>
        <v>255383.69999999998</v>
      </c>
      <c r="F273" s="9">
        <v>252829.8</v>
      </c>
      <c r="G273" s="9">
        <v>0</v>
      </c>
      <c r="H273" s="9">
        <v>2553.9</v>
      </c>
      <c r="I273" s="9">
        <v>0</v>
      </c>
      <c r="J273" s="756"/>
      <c r="K273" s="757"/>
    </row>
    <row r="274" spans="1:11" s="12" customFormat="1" ht="14.25" customHeight="1">
      <c r="A274" s="753"/>
      <c r="B274" s="754"/>
      <c r="C274" s="755"/>
      <c r="D274" s="55">
        <v>2020</v>
      </c>
      <c r="E274" s="8">
        <f t="shared" si="25"/>
        <v>0</v>
      </c>
      <c r="F274" s="9">
        <v>0</v>
      </c>
      <c r="G274" s="9">
        <v>0</v>
      </c>
      <c r="H274" s="9">
        <v>0</v>
      </c>
      <c r="I274" s="9">
        <v>0</v>
      </c>
      <c r="J274" s="756"/>
      <c r="K274" s="757"/>
    </row>
    <row r="275" spans="1:11" s="10" customFormat="1" ht="13.5" customHeight="1">
      <c r="A275" s="753" t="s">
        <v>228</v>
      </c>
      <c r="B275" s="754" t="s">
        <v>99</v>
      </c>
      <c r="C275" s="755" t="s">
        <v>291</v>
      </c>
      <c r="D275" s="55" t="s">
        <v>8</v>
      </c>
      <c r="E275" s="8">
        <f t="shared" si="25"/>
        <v>23652.400000000001</v>
      </c>
      <c r="F275" s="8">
        <f>SUM(F276:F280)</f>
        <v>23652.400000000001</v>
      </c>
      <c r="G275" s="8">
        <f>SUM(G276:G280)</f>
        <v>0</v>
      </c>
      <c r="H275" s="8">
        <f>SUM(H276:H280)</f>
        <v>0</v>
      </c>
      <c r="I275" s="8">
        <f>SUM(I276:I280)</f>
        <v>0</v>
      </c>
      <c r="J275" s="756" t="s">
        <v>292</v>
      </c>
      <c r="K275" s="757" t="s">
        <v>100</v>
      </c>
    </row>
    <row r="276" spans="1:11" s="10" customFormat="1" ht="13.5" customHeight="1">
      <c r="A276" s="753"/>
      <c r="B276" s="754"/>
      <c r="C276" s="755"/>
      <c r="D276" s="55">
        <v>2016</v>
      </c>
      <c r="E276" s="8">
        <f t="shared" si="25"/>
        <v>0</v>
      </c>
      <c r="F276" s="9">
        <v>0</v>
      </c>
      <c r="G276" s="9">
        <v>0</v>
      </c>
      <c r="H276" s="9">
        <v>0</v>
      </c>
      <c r="I276" s="9">
        <v>0</v>
      </c>
      <c r="J276" s="756"/>
      <c r="K276" s="757"/>
    </row>
    <row r="277" spans="1:11" s="10" customFormat="1" ht="13.5" customHeight="1">
      <c r="A277" s="753"/>
      <c r="B277" s="754"/>
      <c r="C277" s="755"/>
      <c r="D277" s="55">
        <v>2017</v>
      </c>
      <c r="E277" s="8">
        <f t="shared" si="25"/>
        <v>18567.400000000001</v>
      </c>
      <c r="F277" s="9">
        <v>18567.400000000001</v>
      </c>
      <c r="G277" s="9">
        <v>0</v>
      </c>
      <c r="H277" s="9">
        <v>0</v>
      </c>
      <c r="I277" s="9">
        <v>0</v>
      </c>
      <c r="J277" s="756"/>
      <c r="K277" s="757"/>
    </row>
    <row r="278" spans="1:11" s="12" customFormat="1" ht="14.25" customHeight="1">
      <c r="A278" s="753"/>
      <c r="B278" s="754"/>
      <c r="C278" s="755"/>
      <c r="D278" s="55">
        <v>2018</v>
      </c>
      <c r="E278" s="8">
        <f t="shared" si="25"/>
        <v>5085</v>
      </c>
      <c r="F278" s="9">
        <v>5085</v>
      </c>
      <c r="G278" s="9">
        <v>0</v>
      </c>
      <c r="H278" s="9">
        <v>0</v>
      </c>
      <c r="I278" s="9">
        <v>0</v>
      </c>
      <c r="J278" s="756"/>
      <c r="K278" s="757"/>
    </row>
    <row r="279" spans="1:11" s="12" customFormat="1" ht="14.25" customHeight="1">
      <c r="A279" s="753"/>
      <c r="B279" s="754"/>
      <c r="C279" s="755"/>
      <c r="D279" s="55">
        <v>2019</v>
      </c>
      <c r="E279" s="8">
        <f t="shared" si="25"/>
        <v>0</v>
      </c>
      <c r="F279" s="9">
        <v>0</v>
      </c>
      <c r="G279" s="9">
        <v>0</v>
      </c>
      <c r="H279" s="9">
        <v>0</v>
      </c>
      <c r="I279" s="9">
        <v>0</v>
      </c>
      <c r="J279" s="756"/>
      <c r="K279" s="757"/>
    </row>
    <row r="280" spans="1:11" s="12" customFormat="1" ht="14.25" customHeight="1">
      <c r="A280" s="753"/>
      <c r="B280" s="754"/>
      <c r="C280" s="755"/>
      <c r="D280" s="55">
        <v>2020</v>
      </c>
      <c r="E280" s="8">
        <f t="shared" si="25"/>
        <v>0</v>
      </c>
      <c r="F280" s="9">
        <v>0</v>
      </c>
      <c r="G280" s="9">
        <v>0</v>
      </c>
      <c r="H280" s="9">
        <v>0</v>
      </c>
      <c r="I280" s="9">
        <v>0</v>
      </c>
      <c r="J280" s="756"/>
      <c r="K280" s="757"/>
    </row>
    <row r="281" spans="1:11" s="10" customFormat="1" ht="13.5" customHeight="1">
      <c r="A281" s="753" t="s">
        <v>229</v>
      </c>
      <c r="B281" s="754" t="s">
        <v>101</v>
      </c>
      <c r="C281" s="755">
        <v>2017</v>
      </c>
      <c r="D281" s="55" t="s">
        <v>8</v>
      </c>
      <c r="E281" s="8">
        <f t="shared" si="25"/>
        <v>4913</v>
      </c>
      <c r="F281" s="8">
        <f>SUM(F282:F286)</f>
        <v>4913</v>
      </c>
      <c r="G281" s="8">
        <f>SUM(G282:G286)</f>
        <v>0</v>
      </c>
      <c r="H281" s="8">
        <f>SUM(H282:H286)</f>
        <v>0</v>
      </c>
      <c r="I281" s="8">
        <f>SUM(I282:I286)</f>
        <v>0</v>
      </c>
      <c r="J281" s="756" t="s">
        <v>163</v>
      </c>
      <c r="K281" s="757" t="s">
        <v>89</v>
      </c>
    </row>
    <row r="282" spans="1:11" s="10" customFormat="1" ht="13.5" customHeight="1">
      <c r="A282" s="753"/>
      <c r="B282" s="754"/>
      <c r="C282" s="755"/>
      <c r="D282" s="55">
        <v>2016</v>
      </c>
      <c r="E282" s="8">
        <f t="shared" si="25"/>
        <v>0</v>
      </c>
      <c r="F282" s="9">
        <v>0</v>
      </c>
      <c r="G282" s="9">
        <v>0</v>
      </c>
      <c r="H282" s="9">
        <v>0</v>
      </c>
      <c r="I282" s="9">
        <v>0</v>
      </c>
      <c r="J282" s="756"/>
      <c r="K282" s="757"/>
    </row>
    <row r="283" spans="1:11" s="10" customFormat="1" ht="13.5" customHeight="1">
      <c r="A283" s="753"/>
      <c r="B283" s="754"/>
      <c r="C283" s="755"/>
      <c r="D283" s="55">
        <v>2017</v>
      </c>
      <c r="E283" s="8">
        <f t="shared" si="25"/>
        <v>4913</v>
      </c>
      <c r="F283" s="9">
        <v>4913</v>
      </c>
      <c r="G283" s="9">
        <v>0</v>
      </c>
      <c r="H283" s="9">
        <v>0</v>
      </c>
      <c r="I283" s="9">
        <v>0</v>
      </c>
      <c r="J283" s="756"/>
      <c r="K283" s="757"/>
    </row>
    <row r="284" spans="1:11" s="12" customFormat="1" ht="14.25" customHeight="1">
      <c r="A284" s="753"/>
      <c r="B284" s="754"/>
      <c r="C284" s="755"/>
      <c r="D284" s="55">
        <v>2018</v>
      </c>
      <c r="E284" s="8">
        <f t="shared" si="25"/>
        <v>0</v>
      </c>
      <c r="F284" s="9">
        <v>0</v>
      </c>
      <c r="G284" s="9">
        <v>0</v>
      </c>
      <c r="H284" s="9">
        <v>0</v>
      </c>
      <c r="I284" s="9">
        <v>0</v>
      </c>
      <c r="J284" s="756"/>
      <c r="K284" s="757"/>
    </row>
    <row r="285" spans="1:11" s="12" customFormat="1" ht="14.25" customHeight="1">
      <c r="A285" s="753"/>
      <c r="B285" s="754"/>
      <c r="C285" s="755"/>
      <c r="D285" s="55">
        <v>2019</v>
      </c>
      <c r="E285" s="8">
        <f t="shared" si="25"/>
        <v>0</v>
      </c>
      <c r="F285" s="9">
        <v>0</v>
      </c>
      <c r="G285" s="9">
        <v>0</v>
      </c>
      <c r="H285" s="9">
        <v>0</v>
      </c>
      <c r="I285" s="9">
        <v>0</v>
      </c>
      <c r="J285" s="756"/>
      <c r="K285" s="757"/>
    </row>
    <row r="286" spans="1:11" s="12" customFormat="1" ht="14.25" customHeight="1">
      <c r="A286" s="753"/>
      <c r="B286" s="754"/>
      <c r="C286" s="755"/>
      <c r="D286" s="55">
        <v>2020</v>
      </c>
      <c r="E286" s="8">
        <f t="shared" si="25"/>
        <v>0</v>
      </c>
      <c r="F286" s="9">
        <v>0</v>
      </c>
      <c r="G286" s="9">
        <v>0</v>
      </c>
      <c r="H286" s="9">
        <v>0</v>
      </c>
      <c r="I286" s="9">
        <v>0</v>
      </c>
      <c r="J286" s="756"/>
      <c r="K286" s="757"/>
    </row>
    <row r="287" spans="1:11" s="10" customFormat="1" ht="13.5" customHeight="1">
      <c r="A287" s="753" t="s">
        <v>230</v>
      </c>
      <c r="B287" s="754" t="s">
        <v>231</v>
      </c>
      <c r="C287" s="755">
        <v>2018</v>
      </c>
      <c r="D287" s="55" t="s">
        <v>8</v>
      </c>
      <c r="E287" s="8">
        <f t="shared" si="25"/>
        <v>2527.4</v>
      </c>
      <c r="F287" s="8">
        <f>SUM(F288:F292)</f>
        <v>2527.4</v>
      </c>
      <c r="G287" s="8">
        <f>SUM(G288:G292)</f>
        <v>0</v>
      </c>
      <c r="H287" s="8">
        <f>SUM(H288:H292)</f>
        <v>0</v>
      </c>
      <c r="I287" s="8">
        <f>SUM(I288:I292)</f>
        <v>0</v>
      </c>
      <c r="J287" s="756" t="s">
        <v>232</v>
      </c>
      <c r="K287" s="757" t="s">
        <v>293</v>
      </c>
    </row>
    <row r="288" spans="1:11" s="10" customFormat="1" ht="13.5" customHeight="1">
      <c r="A288" s="753"/>
      <c r="B288" s="754"/>
      <c r="C288" s="755"/>
      <c r="D288" s="55">
        <v>2016</v>
      </c>
      <c r="E288" s="8">
        <f t="shared" si="25"/>
        <v>0</v>
      </c>
      <c r="F288" s="9">
        <v>0</v>
      </c>
      <c r="G288" s="9">
        <v>0</v>
      </c>
      <c r="H288" s="9">
        <v>0</v>
      </c>
      <c r="I288" s="9">
        <v>0</v>
      </c>
      <c r="J288" s="756"/>
      <c r="K288" s="757"/>
    </row>
    <row r="289" spans="1:12" s="10" customFormat="1" ht="13.5" customHeight="1">
      <c r="A289" s="753"/>
      <c r="B289" s="754"/>
      <c r="C289" s="755"/>
      <c r="D289" s="55">
        <v>2017</v>
      </c>
      <c r="E289" s="8">
        <f t="shared" si="25"/>
        <v>0</v>
      </c>
      <c r="F289" s="9">
        <v>0</v>
      </c>
      <c r="G289" s="9">
        <v>0</v>
      </c>
      <c r="H289" s="9">
        <v>0</v>
      </c>
      <c r="I289" s="9">
        <v>0</v>
      </c>
      <c r="J289" s="756"/>
      <c r="K289" s="757"/>
    </row>
    <row r="290" spans="1:12" s="12" customFormat="1" ht="14.25" customHeight="1">
      <c r="A290" s="753"/>
      <c r="B290" s="754"/>
      <c r="C290" s="755"/>
      <c r="D290" s="55">
        <v>2018</v>
      </c>
      <c r="E290" s="8">
        <f t="shared" si="25"/>
        <v>2527.4</v>
      </c>
      <c r="F290" s="9">
        <v>2527.4</v>
      </c>
      <c r="G290" s="9">
        <v>0</v>
      </c>
      <c r="H290" s="9">
        <v>0</v>
      </c>
      <c r="I290" s="9">
        <v>0</v>
      </c>
      <c r="J290" s="756"/>
      <c r="K290" s="757"/>
    </row>
    <row r="291" spans="1:12" s="12" customFormat="1" ht="14.25" customHeight="1">
      <c r="A291" s="753"/>
      <c r="B291" s="754"/>
      <c r="C291" s="755"/>
      <c r="D291" s="55">
        <v>2019</v>
      </c>
      <c r="E291" s="8">
        <f t="shared" si="25"/>
        <v>0</v>
      </c>
      <c r="F291" s="9">
        <v>0</v>
      </c>
      <c r="G291" s="9">
        <v>0</v>
      </c>
      <c r="H291" s="9">
        <v>0</v>
      </c>
      <c r="I291" s="9">
        <v>0</v>
      </c>
      <c r="J291" s="756"/>
      <c r="K291" s="757"/>
    </row>
    <row r="292" spans="1:12" s="12" customFormat="1" ht="14.25" customHeight="1">
      <c r="A292" s="753"/>
      <c r="B292" s="754"/>
      <c r="C292" s="755"/>
      <c r="D292" s="55">
        <v>2020</v>
      </c>
      <c r="E292" s="8">
        <f t="shared" si="25"/>
        <v>0</v>
      </c>
      <c r="F292" s="9">
        <v>0</v>
      </c>
      <c r="G292" s="9">
        <v>0</v>
      </c>
      <c r="H292" s="9">
        <v>0</v>
      </c>
      <c r="I292" s="9">
        <v>0</v>
      </c>
      <c r="J292" s="756"/>
      <c r="K292" s="757"/>
    </row>
    <row r="293" spans="1:12" s="10" customFormat="1" ht="13.5" customHeight="1">
      <c r="A293" s="753" t="s">
        <v>234</v>
      </c>
      <c r="B293" s="754" t="s">
        <v>235</v>
      </c>
      <c r="C293" s="755">
        <v>2020</v>
      </c>
      <c r="D293" s="55" t="s">
        <v>8</v>
      </c>
      <c r="E293" s="8">
        <f t="shared" si="25"/>
        <v>18779.400000000001</v>
      </c>
      <c r="F293" s="8">
        <f>SUM(F294:F298)</f>
        <v>17840.400000000001</v>
      </c>
      <c r="G293" s="8">
        <f>SUM(G294:G298)</f>
        <v>0</v>
      </c>
      <c r="H293" s="8">
        <f>SUM(H294:H298)</f>
        <v>939</v>
      </c>
      <c r="I293" s="8">
        <f>SUM(I294:I298)</f>
        <v>0</v>
      </c>
      <c r="J293" s="756" t="s">
        <v>236</v>
      </c>
      <c r="K293" s="757" t="s">
        <v>169</v>
      </c>
    </row>
    <row r="294" spans="1:12" s="10" customFormat="1" ht="13.5" customHeight="1">
      <c r="A294" s="753"/>
      <c r="B294" s="754"/>
      <c r="C294" s="755"/>
      <c r="D294" s="55">
        <v>2016</v>
      </c>
      <c r="E294" s="8">
        <f t="shared" si="25"/>
        <v>0</v>
      </c>
      <c r="F294" s="9">
        <v>0</v>
      </c>
      <c r="G294" s="9">
        <v>0</v>
      </c>
      <c r="H294" s="9">
        <v>0</v>
      </c>
      <c r="I294" s="9">
        <v>0</v>
      </c>
      <c r="J294" s="756"/>
      <c r="K294" s="757"/>
    </row>
    <row r="295" spans="1:12" s="10" customFormat="1" ht="13.5" customHeight="1">
      <c r="A295" s="753"/>
      <c r="B295" s="754"/>
      <c r="C295" s="755"/>
      <c r="D295" s="55">
        <v>2017</v>
      </c>
      <c r="E295" s="8">
        <f t="shared" si="25"/>
        <v>0</v>
      </c>
      <c r="F295" s="9">
        <v>0</v>
      </c>
      <c r="G295" s="9">
        <v>0</v>
      </c>
      <c r="H295" s="9">
        <v>0</v>
      </c>
      <c r="I295" s="9">
        <v>0</v>
      </c>
      <c r="J295" s="756"/>
      <c r="K295" s="757"/>
    </row>
    <row r="296" spans="1:12" s="12" customFormat="1" ht="14.25" customHeight="1">
      <c r="A296" s="753"/>
      <c r="B296" s="754"/>
      <c r="C296" s="755"/>
      <c r="D296" s="55">
        <v>2018</v>
      </c>
      <c r="E296" s="8">
        <f t="shared" si="25"/>
        <v>0</v>
      </c>
      <c r="F296" s="9">
        <v>0</v>
      </c>
      <c r="G296" s="9">
        <v>0</v>
      </c>
      <c r="H296" s="9">
        <v>0</v>
      </c>
      <c r="I296" s="9">
        <v>0</v>
      </c>
      <c r="J296" s="756"/>
      <c r="K296" s="757"/>
    </row>
    <row r="297" spans="1:12" s="12" customFormat="1" ht="14.25" customHeight="1">
      <c r="A297" s="753"/>
      <c r="B297" s="754"/>
      <c r="C297" s="755"/>
      <c r="D297" s="55">
        <v>2019</v>
      </c>
      <c r="E297" s="8">
        <f t="shared" si="25"/>
        <v>0</v>
      </c>
      <c r="F297" s="9">
        <v>0</v>
      </c>
      <c r="G297" s="9">
        <v>0</v>
      </c>
      <c r="H297" s="9">
        <v>0</v>
      </c>
      <c r="I297" s="9">
        <v>0</v>
      </c>
      <c r="J297" s="756"/>
      <c r="K297" s="757"/>
    </row>
    <row r="298" spans="1:12" s="12" customFormat="1" ht="14.25" customHeight="1">
      <c r="A298" s="753"/>
      <c r="B298" s="754"/>
      <c r="C298" s="755"/>
      <c r="D298" s="55">
        <v>2020</v>
      </c>
      <c r="E298" s="8">
        <f t="shared" si="25"/>
        <v>18779.400000000001</v>
      </c>
      <c r="F298" s="9">
        <v>17840.400000000001</v>
      </c>
      <c r="G298" s="9">
        <v>0</v>
      </c>
      <c r="H298" s="9">
        <v>939</v>
      </c>
      <c r="I298" s="9">
        <v>0</v>
      </c>
      <c r="J298" s="756"/>
      <c r="K298" s="757"/>
    </row>
    <row r="299" spans="1:12" ht="15" customHeight="1">
      <c r="A299" s="753" t="s">
        <v>179</v>
      </c>
      <c r="B299" s="754" t="s">
        <v>103</v>
      </c>
      <c r="C299" s="755" t="s">
        <v>14</v>
      </c>
      <c r="D299" s="57" t="s">
        <v>8</v>
      </c>
      <c r="E299" s="8">
        <f t="shared" si="25"/>
        <v>283913.40000000002</v>
      </c>
      <c r="F299" s="8">
        <f>SUM(F300:F304)</f>
        <v>247202.2</v>
      </c>
      <c r="G299" s="8">
        <f>SUM(G300:G304)</f>
        <v>22623</v>
      </c>
      <c r="H299" s="8">
        <f>SUM(H300:H304)</f>
        <v>14088.2</v>
      </c>
      <c r="I299" s="8">
        <f>SUM(I300:I304)</f>
        <v>0</v>
      </c>
      <c r="J299" s="756" t="s">
        <v>104</v>
      </c>
      <c r="K299" s="756" t="s">
        <v>105</v>
      </c>
      <c r="L299" s="761"/>
    </row>
    <row r="300" spans="1:12">
      <c r="A300" s="753"/>
      <c r="B300" s="754"/>
      <c r="C300" s="755"/>
      <c r="D300" s="57">
        <v>2016</v>
      </c>
      <c r="E300" s="8">
        <f t="shared" ref="E300:I304" si="26">E306+E312+E318+E324+E330+E336+E342+E348+E354+E360+E366+E372+E378+E384+E390+E396+E402+E408</f>
        <v>88741</v>
      </c>
      <c r="F300" s="8">
        <f t="shared" si="26"/>
        <v>73734.3</v>
      </c>
      <c r="G300" s="8">
        <f t="shared" si="26"/>
        <v>11357.5</v>
      </c>
      <c r="H300" s="8">
        <f t="shared" si="26"/>
        <v>3649.2</v>
      </c>
      <c r="I300" s="8">
        <f t="shared" si="26"/>
        <v>0</v>
      </c>
      <c r="J300" s="756"/>
      <c r="K300" s="756"/>
      <c r="L300" s="761"/>
    </row>
    <row r="301" spans="1:12">
      <c r="A301" s="753"/>
      <c r="B301" s="754"/>
      <c r="C301" s="755"/>
      <c r="D301" s="57">
        <v>2017</v>
      </c>
      <c r="E301" s="8">
        <f t="shared" si="26"/>
        <v>64251.9</v>
      </c>
      <c r="F301" s="8">
        <f t="shared" si="26"/>
        <v>50265.600000000006</v>
      </c>
      <c r="G301" s="8">
        <f t="shared" si="26"/>
        <v>11265.5</v>
      </c>
      <c r="H301" s="8">
        <f t="shared" si="26"/>
        <v>2720.8</v>
      </c>
      <c r="I301" s="8">
        <f t="shared" si="26"/>
        <v>0</v>
      </c>
      <c r="J301" s="756"/>
      <c r="K301" s="756"/>
      <c r="L301" s="761"/>
    </row>
    <row r="302" spans="1:12">
      <c r="A302" s="753"/>
      <c r="B302" s="754"/>
      <c r="C302" s="755"/>
      <c r="D302" s="57">
        <v>2018</v>
      </c>
      <c r="E302" s="8">
        <f t="shared" si="26"/>
        <v>52003.3</v>
      </c>
      <c r="F302" s="8">
        <f t="shared" si="26"/>
        <v>49477.8</v>
      </c>
      <c r="G302" s="8">
        <f t="shared" si="26"/>
        <v>0</v>
      </c>
      <c r="H302" s="8">
        <f t="shared" si="26"/>
        <v>2525.5</v>
      </c>
      <c r="I302" s="8">
        <f t="shared" si="26"/>
        <v>0</v>
      </c>
      <c r="J302" s="756"/>
      <c r="K302" s="756"/>
      <c r="L302" s="761"/>
    </row>
    <row r="303" spans="1:12">
      <c r="A303" s="753"/>
      <c r="B303" s="754"/>
      <c r="C303" s="755"/>
      <c r="D303" s="57">
        <v>2019</v>
      </c>
      <c r="E303" s="8">
        <f t="shared" si="26"/>
        <v>72917.2</v>
      </c>
      <c r="F303" s="8">
        <f t="shared" si="26"/>
        <v>67724.5</v>
      </c>
      <c r="G303" s="8">
        <f t="shared" si="26"/>
        <v>0</v>
      </c>
      <c r="H303" s="8">
        <f t="shared" si="26"/>
        <v>5192.7</v>
      </c>
      <c r="I303" s="8">
        <f t="shared" si="26"/>
        <v>0</v>
      </c>
      <c r="J303" s="756"/>
      <c r="K303" s="756"/>
      <c r="L303" s="761"/>
    </row>
    <row r="304" spans="1:12">
      <c r="A304" s="753"/>
      <c r="B304" s="754"/>
      <c r="C304" s="755"/>
      <c r="D304" s="57">
        <v>2020</v>
      </c>
      <c r="E304" s="8">
        <f t="shared" si="26"/>
        <v>6000</v>
      </c>
      <c r="F304" s="8">
        <f t="shared" si="26"/>
        <v>6000</v>
      </c>
      <c r="G304" s="8">
        <f t="shared" si="26"/>
        <v>0</v>
      </c>
      <c r="H304" s="8">
        <f t="shared" si="26"/>
        <v>0</v>
      </c>
      <c r="I304" s="8">
        <f t="shared" si="26"/>
        <v>0</v>
      </c>
      <c r="J304" s="756"/>
      <c r="K304" s="756"/>
      <c r="L304" s="53"/>
    </row>
    <row r="305" spans="1:11" s="2" customFormat="1" ht="15" customHeight="1">
      <c r="A305" s="762" t="s">
        <v>102</v>
      </c>
      <c r="B305" s="760" t="s">
        <v>106</v>
      </c>
      <c r="C305" s="755" t="s">
        <v>14</v>
      </c>
      <c r="D305" s="37" t="s">
        <v>8</v>
      </c>
      <c r="E305" s="8">
        <f t="shared" ref="E305:E333" si="27">SUM(F305:I305)</f>
        <v>33000</v>
      </c>
      <c r="F305" s="8">
        <f>SUM(F306:F310)</f>
        <v>33000</v>
      </c>
      <c r="G305" s="8">
        <f>SUM(G306:G309)</f>
        <v>0</v>
      </c>
      <c r="H305" s="8">
        <f>SUM(H306:H309)</f>
        <v>0</v>
      </c>
      <c r="I305" s="8">
        <f>SUM(I306:I309)</f>
        <v>0</v>
      </c>
      <c r="J305" s="760" t="s">
        <v>107</v>
      </c>
      <c r="K305" s="756" t="s">
        <v>108</v>
      </c>
    </row>
    <row r="306" spans="1:11" s="2" customFormat="1">
      <c r="A306" s="762"/>
      <c r="B306" s="760"/>
      <c r="C306" s="755"/>
      <c r="D306" s="37">
        <v>2016</v>
      </c>
      <c r="E306" s="8">
        <f t="shared" si="27"/>
        <v>9000</v>
      </c>
      <c r="F306" s="13">
        <v>9000</v>
      </c>
      <c r="G306" s="14">
        <v>0</v>
      </c>
      <c r="H306" s="14">
        <v>0</v>
      </c>
      <c r="I306" s="14">
        <v>0</v>
      </c>
      <c r="J306" s="760"/>
      <c r="K306" s="756"/>
    </row>
    <row r="307" spans="1:11" s="2" customFormat="1">
      <c r="A307" s="762"/>
      <c r="B307" s="760"/>
      <c r="C307" s="755"/>
      <c r="D307" s="37">
        <v>2017</v>
      </c>
      <c r="E307" s="8">
        <f t="shared" si="27"/>
        <v>6000</v>
      </c>
      <c r="F307" s="13">
        <v>6000</v>
      </c>
      <c r="G307" s="14">
        <v>0</v>
      </c>
      <c r="H307" s="14">
        <v>0</v>
      </c>
      <c r="I307" s="14">
        <v>0</v>
      </c>
      <c r="J307" s="760"/>
      <c r="K307" s="756"/>
    </row>
    <row r="308" spans="1:11" s="2" customFormat="1">
      <c r="A308" s="762"/>
      <c r="B308" s="760"/>
      <c r="C308" s="755"/>
      <c r="D308" s="57">
        <v>2018</v>
      </c>
      <c r="E308" s="8">
        <f t="shared" si="27"/>
        <v>6000</v>
      </c>
      <c r="F308" s="13">
        <v>6000</v>
      </c>
      <c r="G308" s="14">
        <v>0</v>
      </c>
      <c r="H308" s="14">
        <v>0</v>
      </c>
      <c r="I308" s="14">
        <v>0</v>
      </c>
      <c r="J308" s="760"/>
      <c r="K308" s="756"/>
    </row>
    <row r="309" spans="1:11" s="2" customFormat="1">
      <c r="A309" s="762"/>
      <c r="B309" s="760"/>
      <c r="C309" s="755"/>
      <c r="D309" s="57">
        <v>2019</v>
      </c>
      <c r="E309" s="8">
        <f t="shared" si="27"/>
        <v>6000</v>
      </c>
      <c r="F309" s="13">
        <v>6000</v>
      </c>
      <c r="G309" s="14">
        <v>0</v>
      </c>
      <c r="H309" s="14">
        <v>0</v>
      </c>
      <c r="I309" s="14">
        <v>0</v>
      </c>
      <c r="J309" s="760"/>
      <c r="K309" s="756"/>
    </row>
    <row r="310" spans="1:11" s="2" customFormat="1">
      <c r="A310" s="762"/>
      <c r="B310" s="760"/>
      <c r="C310" s="755"/>
      <c r="D310" s="57">
        <v>2020</v>
      </c>
      <c r="E310" s="8">
        <f>SUM(F310:I310)</f>
        <v>6000</v>
      </c>
      <c r="F310" s="13">
        <v>6000</v>
      </c>
      <c r="G310" s="14">
        <v>0</v>
      </c>
      <c r="H310" s="14">
        <v>0</v>
      </c>
      <c r="I310" s="14">
        <v>0</v>
      </c>
      <c r="J310" s="760"/>
      <c r="K310" s="756"/>
    </row>
    <row r="311" spans="1:11" ht="15" customHeight="1">
      <c r="A311" s="762" t="s">
        <v>237</v>
      </c>
      <c r="B311" s="760" t="s">
        <v>109</v>
      </c>
      <c r="C311" s="762" t="s">
        <v>84</v>
      </c>
      <c r="D311" s="37" t="s">
        <v>8</v>
      </c>
      <c r="E311" s="8">
        <f t="shared" si="27"/>
        <v>37215.600000000006</v>
      </c>
      <c r="F311" s="8">
        <f>SUM(F312:F316)</f>
        <v>35354.800000000003</v>
      </c>
      <c r="G311" s="8">
        <f>SUM(G312:G316)</f>
        <v>0</v>
      </c>
      <c r="H311" s="8">
        <f>SUM(H312:H316)</f>
        <v>1860.8</v>
      </c>
      <c r="I311" s="8">
        <f>SUM(I312:I316)</f>
        <v>0</v>
      </c>
      <c r="J311" s="756" t="s">
        <v>164</v>
      </c>
      <c r="K311" s="757" t="s">
        <v>110</v>
      </c>
    </row>
    <row r="312" spans="1:11">
      <c r="A312" s="762"/>
      <c r="B312" s="760"/>
      <c r="C312" s="762"/>
      <c r="D312" s="37">
        <v>2016</v>
      </c>
      <c r="E312" s="8">
        <f t="shared" si="27"/>
        <v>37215.600000000006</v>
      </c>
      <c r="F312" s="9">
        <v>35354.800000000003</v>
      </c>
      <c r="G312" s="15">
        <v>0</v>
      </c>
      <c r="H312" s="9">
        <v>1860.8</v>
      </c>
      <c r="I312" s="15">
        <v>0</v>
      </c>
      <c r="J312" s="756"/>
      <c r="K312" s="757"/>
    </row>
    <row r="313" spans="1:11">
      <c r="A313" s="762"/>
      <c r="B313" s="760"/>
      <c r="C313" s="762"/>
      <c r="D313" s="37">
        <v>2017</v>
      </c>
      <c r="E313" s="8">
        <f t="shared" si="27"/>
        <v>0</v>
      </c>
      <c r="F313" s="15">
        <v>0</v>
      </c>
      <c r="G313" s="15">
        <v>0</v>
      </c>
      <c r="H313" s="15">
        <v>0</v>
      </c>
      <c r="I313" s="15">
        <v>0</v>
      </c>
      <c r="J313" s="756"/>
      <c r="K313" s="757"/>
    </row>
    <row r="314" spans="1:11">
      <c r="A314" s="762"/>
      <c r="B314" s="760"/>
      <c r="C314" s="762"/>
      <c r="D314" s="57">
        <v>2018</v>
      </c>
      <c r="E314" s="8">
        <f t="shared" si="27"/>
        <v>0</v>
      </c>
      <c r="F314" s="15">
        <v>0</v>
      </c>
      <c r="G314" s="15">
        <v>0</v>
      </c>
      <c r="H314" s="15">
        <v>0</v>
      </c>
      <c r="I314" s="15">
        <v>0</v>
      </c>
      <c r="J314" s="756"/>
      <c r="K314" s="757"/>
    </row>
    <row r="315" spans="1:11">
      <c r="A315" s="762"/>
      <c r="B315" s="760"/>
      <c r="C315" s="762"/>
      <c r="D315" s="57">
        <v>2019</v>
      </c>
      <c r="E315" s="8">
        <f t="shared" si="27"/>
        <v>0</v>
      </c>
      <c r="F315" s="9">
        <v>0</v>
      </c>
      <c r="G315" s="9">
        <v>0</v>
      </c>
      <c r="H315" s="9">
        <v>0</v>
      </c>
      <c r="I315" s="9">
        <v>0</v>
      </c>
      <c r="J315" s="756"/>
      <c r="K315" s="757"/>
    </row>
    <row r="316" spans="1:11">
      <c r="A316" s="762"/>
      <c r="B316" s="760"/>
      <c r="C316" s="762"/>
      <c r="D316" s="57">
        <v>2020</v>
      </c>
      <c r="E316" s="8">
        <f>SUM(F316:I316)</f>
        <v>0</v>
      </c>
      <c r="F316" s="9">
        <v>0</v>
      </c>
      <c r="G316" s="9">
        <v>0</v>
      </c>
      <c r="H316" s="9">
        <v>0</v>
      </c>
      <c r="I316" s="9">
        <v>0</v>
      </c>
      <c r="J316" s="756"/>
      <c r="K316" s="757"/>
    </row>
    <row r="317" spans="1:11" ht="15" customHeight="1">
      <c r="A317" s="762" t="s">
        <v>238</v>
      </c>
      <c r="B317" s="760" t="s">
        <v>111</v>
      </c>
      <c r="C317" s="762">
        <v>2016</v>
      </c>
      <c r="D317" s="37" t="s">
        <v>8</v>
      </c>
      <c r="E317" s="8">
        <f t="shared" si="27"/>
        <v>2392.1</v>
      </c>
      <c r="F317" s="8">
        <f>SUM(F318:F322)</f>
        <v>2272.5</v>
      </c>
      <c r="G317" s="8">
        <f>SUM(G318:G322)</f>
        <v>0</v>
      </c>
      <c r="H317" s="8">
        <f>SUM(H318:H322)</f>
        <v>119.6</v>
      </c>
      <c r="I317" s="8">
        <f>SUM(I318:I322)</f>
        <v>0</v>
      </c>
      <c r="J317" s="756" t="s">
        <v>112</v>
      </c>
      <c r="K317" s="757" t="s">
        <v>113</v>
      </c>
    </row>
    <row r="318" spans="1:11">
      <c r="A318" s="762"/>
      <c r="B318" s="760"/>
      <c r="C318" s="762"/>
      <c r="D318" s="37">
        <v>2016</v>
      </c>
      <c r="E318" s="8">
        <f t="shared" si="27"/>
        <v>2392.1</v>
      </c>
      <c r="F318" s="9">
        <v>2272.5</v>
      </c>
      <c r="G318" s="9">
        <v>0</v>
      </c>
      <c r="H318" s="9">
        <v>119.6</v>
      </c>
      <c r="I318" s="9">
        <v>0</v>
      </c>
      <c r="J318" s="756"/>
      <c r="K318" s="757"/>
    </row>
    <row r="319" spans="1:11">
      <c r="A319" s="762"/>
      <c r="B319" s="760"/>
      <c r="C319" s="762"/>
      <c r="D319" s="37">
        <v>2017</v>
      </c>
      <c r="E319" s="8">
        <f t="shared" si="27"/>
        <v>0</v>
      </c>
      <c r="F319" s="9">
        <v>0</v>
      </c>
      <c r="G319" s="9">
        <v>0</v>
      </c>
      <c r="H319" s="9">
        <v>0</v>
      </c>
      <c r="I319" s="9">
        <v>0</v>
      </c>
      <c r="J319" s="756"/>
      <c r="K319" s="757"/>
    </row>
    <row r="320" spans="1:11">
      <c r="A320" s="762"/>
      <c r="B320" s="760"/>
      <c r="C320" s="762"/>
      <c r="D320" s="57">
        <v>2018</v>
      </c>
      <c r="E320" s="8">
        <f t="shared" si="27"/>
        <v>0</v>
      </c>
      <c r="F320" s="9">
        <v>0</v>
      </c>
      <c r="G320" s="9">
        <v>0</v>
      </c>
      <c r="H320" s="9">
        <v>0</v>
      </c>
      <c r="I320" s="9">
        <v>0</v>
      </c>
      <c r="J320" s="756"/>
      <c r="K320" s="757"/>
    </row>
    <row r="321" spans="1:11">
      <c r="A321" s="762"/>
      <c r="B321" s="760"/>
      <c r="C321" s="762"/>
      <c r="D321" s="57">
        <v>2019</v>
      </c>
      <c r="E321" s="8">
        <f t="shared" si="27"/>
        <v>0</v>
      </c>
      <c r="F321" s="9">
        <v>0</v>
      </c>
      <c r="G321" s="9">
        <v>0</v>
      </c>
      <c r="H321" s="9">
        <v>0</v>
      </c>
      <c r="I321" s="9">
        <v>0</v>
      </c>
      <c r="J321" s="756"/>
      <c r="K321" s="757"/>
    </row>
    <row r="322" spans="1:11">
      <c r="A322" s="762"/>
      <c r="B322" s="760"/>
      <c r="C322" s="762"/>
      <c r="D322" s="57">
        <v>2020</v>
      </c>
      <c r="E322" s="8">
        <f>SUM(F322:I322)</f>
        <v>0</v>
      </c>
      <c r="F322" s="9">
        <v>0</v>
      </c>
      <c r="G322" s="9">
        <v>0</v>
      </c>
      <c r="H322" s="9">
        <v>0</v>
      </c>
      <c r="I322" s="9">
        <v>0</v>
      </c>
      <c r="J322" s="756"/>
      <c r="K322" s="757"/>
    </row>
    <row r="323" spans="1:11" ht="15" customHeight="1">
      <c r="A323" s="762" t="s">
        <v>239</v>
      </c>
      <c r="B323" s="760" t="s">
        <v>114</v>
      </c>
      <c r="C323" s="762">
        <v>2016</v>
      </c>
      <c r="D323" s="37" t="s">
        <v>8</v>
      </c>
      <c r="E323" s="8">
        <f t="shared" si="27"/>
        <v>2156.7000000000003</v>
      </c>
      <c r="F323" s="8">
        <f>SUM(F324:F328)</f>
        <v>2048.9</v>
      </c>
      <c r="G323" s="8">
        <f>SUM(G324:G328)</f>
        <v>0</v>
      </c>
      <c r="H323" s="8">
        <f>SUM(H324:H328)</f>
        <v>107.8</v>
      </c>
      <c r="I323" s="8">
        <f>SUM(I324:I328)</f>
        <v>0</v>
      </c>
      <c r="J323" s="756" t="s">
        <v>115</v>
      </c>
      <c r="K323" s="757" t="s">
        <v>113</v>
      </c>
    </row>
    <row r="324" spans="1:11">
      <c r="A324" s="762"/>
      <c r="B324" s="760"/>
      <c r="C324" s="762"/>
      <c r="D324" s="37">
        <v>2016</v>
      </c>
      <c r="E324" s="8">
        <f t="shared" si="27"/>
        <v>2156.7000000000003</v>
      </c>
      <c r="F324" s="9">
        <v>2048.9</v>
      </c>
      <c r="G324" s="9">
        <v>0</v>
      </c>
      <c r="H324" s="9">
        <v>107.8</v>
      </c>
      <c r="I324" s="9">
        <v>0</v>
      </c>
      <c r="J324" s="756"/>
      <c r="K324" s="757"/>
    </row>
    <row r="325" spans="1:11">
      <c r="A325" s="762"/>
      <c r="B325" s="760"/>
      <c r="C325" s="762"/>
      <c r="D325" s="37">
        <v>2017</v>
      </c>
      <c r="E325" s="8">
        <f t="shared" si="27"/>
        <v>0</v>
      </c>
      <c r="F325" s="9">
        <v>0</v>
      </c>
      <c r="G325" s="9">
        <v>0</v>
      </c>
      <c r="H325" s="9">
        <v>0</v>
      </c>
      <c r="I325" s="9">
        <v>0</v>
      </c>
      <c r="J325" s="756"/>
      <c r="K325" s="757"/>
    </row>
    <row r="326" spans="1:11">
      <c r="A326" s="762"/>
      <c r="B326" s="760"/>
      <c r="C326" s="762"/>
      <c r="D326" s="57">
        <v>2018</v>
      </c>
      <c r="E326" s="8">
        <f t="shared" si="27"/>
        <v>0</v>
      </c>
      <c r="F326" s="9">
        <v>0</v>
      </c>
      <c r="G326" s="9">
        <v>0</v>
      </c>
      <c r="H326" s="9">
        <v>0</v>
      </c>
      <c r="I326" s="9">
        <v>0</v>
      </c>
      <c r="J326" s="756"/>
      <c r="K326" s="757"/>
    </row>
    <row r="327" spans="1:11">
      <c r="A327" s="762"/>
      <c r="B327" s="760"/>
      <c r="C327" s="762"/>
      <c r="D327" s="57">
        <v>2019</v>
      </c>
      <c r="E327" s="8">
        <f t="shared" si="27"/>
        <v>0</v>
      </c>
      <c r="F327" s="9">
        <v>0</v>
      </c>
      <c r="G327" s="9">
        <v>0</v>
      </c>
      <c r="H327" s="9">
        <v>0</v>
      </c>
      <c r="I327" s="9">
        <v>0</v>
      </c>
      <c r="J327" s="756"/>
      <c r="K327" s="757"/>
    </row>
    <row r="328" spans="1:11">
      <c r="A328" s="762"/>
      <c r="B328" s="760"/>
      <c r="C328" s="762"/>
      <c r="D328" s="57">
        <v>2020</v>
      </c>
      <c r="E328" s="8">
        <f>SUM(F328:I328)</f>
        <v>0</v>
      </c>
      <c r="F328" s="9">
        <v>0</v>
      </c>
      <c r="G328" s="9">
        <v>0</v>
      </c>
      <c r="H328" s="9">
        <v>0</v>
      </c>
      <c r="I328" s="9">
        <v>0</v>
      </c>
      <c r="J328" s="756"/>
      <c r="K328" s="757"/>
    </row>
    <row r="329" spans="1:11" ht="16.5" customHeight="1">
      <c r="A329" s="762" t="s">
        <v>240</v>
      </c>
      <c r="B329" s="760" t="s">
        <v>116</v>
      </c>
      <c r="C329" s="762">
        <v>2016</v>
      </c>
      <c r="D329" s="37" t="s">
        <v>8</v>
      </c>
      <c r="E329" s="8">
        <f t="shared" si="27"/>
        <v>5977.5</v>
      </c>
      <c r="F329" s="8">
        <f>SUM(F330:F334)</f>
        <v>5678.6</v>
      </c>
      <c r="G329" s="8">
        <f>SUM(G330:G334)</f>
        <v>0</v>
      </c>
      <c r="H329" s="8">
        <f>SUM(H330:H334)</f>
        <v>298.89999999999998</v>
      </c>
      <c r="I329" s="8">
        <f>SUM(I330:I334)</f>
        <v>0</v>
      </c>
      <c r="J329" s="756" t="s">
        <v>117</v>
      </c>
      <c r="K329" s="757" t="s">
        <v>113</v>
      </c>
    </row>
    <row r="330" spans="1:11" ht="16.5" customHeight="1">
      <c r="A330" s="762"/>
      <c r="B330" s="760"/>
      <c r="C330" s="762"/>
      <c r="D330" s="37">
        <v>2016</v>
      </c>
      <c r="E330" s="8">
        <f t="shared" si="27"/>
        <v>5977.5</v>
      </c>
      <c r="F330" s="9">
        <v>5678.6</v>
      </c>
      <c r="G330" s="9">
        <v>0</v>
      </c>
      <c r="H330" s="9">
        <v>298.89999999999998</v>
      </c>
      <c r="I330" s="9">
        <v>0</v>
      </c>
      <c r="J330" s="756"/>
      <c r="K330" s="757"/>
    </row>
    <row r="331" spans="1:11" ht="16.5" customHeight="1">
      <c r="A331" s="762"/>
      <c r="B331" s="760"/>
      <c r="C331" s="762"/>
      <c r="D331" s="37">
        <v>2017</v>
      </c>
      <c r="E331" s="8">
        <f t="shared" si="27"/>
        <v>0</v>
      </c>
      <c r="F331" s="9">
        <v>0</v>
      </c>
      <c r="G331" s="9">
        <v>0</v>
      </c>
      <c r="H331" s="9">
        <v>0</v>
      </c>
      <c r="I331" s="9">
        <v>0</v>
      </c>
      <c r="J331" s="756"/>
      <c r="K331" s="757"/>
    </row>
    <row r="332" spans="1:11" ht="16.5" customHeight="1">
      <c r="A332" s="762"/>
      <c r="B332" s="760"/>
      <c r="C332" s="762"/>
      <c r="D332" s="57">
        <v>2018</v>
      </c>
      <c r="E332" s="8">
        <f t="shared" si="27"/>
        <v>0</v>
      </c>
      <c r="F332" s="9">
        <v>0</v>
      </c>
      <c r="G332" s="9">
        <v>0</v>
      </c>
      <c r="H332" s="9">
        <v>0</v>
      </c>
      <c r="I332" s="9">
        <v>0</v>
      </c>
      <c r="J332" s="756"/>
      <c r="K332" s="757"/>
    </row>
    <row r="333" spans="1:11" ht="16.5" customHeight="1">
      <c r="A333" s="762"/>
      <c r="B333" s="760"/>
      <c r="C333" s="762"/>
      <c r="D333" s="57">
        <v>2019</v>
      </c>
      <c r="E333" s="8">
        <f t="shared" si="27"/>
        <v>0</v>
      </c>
      <c r="F333" s="9">
        <v>0</v>
      </c>
      <c r="G333" s="9">
        <v>0</v>
      </c>
      <c r="H333" s="9">
        <v>0</v>
      </c>
      <c r="I333" s="9">
        <v>0</v>
      </c>
      <c r="J333" s="756"/>
      <c r="K333" s="757"/>
    </row>
    <row r="334" spans="1:11" ht="16.5" customHeight="1">
      <c r="A334" s="762"/>
      <c r="B334" s="760"/>
      <c r="C334" s="762"/>
      <c r="D334" s="57">
        <v>2020</v>
      </c>
      <c r="E334" s="8">
        <f>SUM(F334:I334)</f>
        <v>0</v>
      </c>
      <c r="F334" s="9">
        <v>0</v>
      </c>
      <c r="G334" s="9">
        <v>0</v>
      </c>
      <c r="H334" s="9">
        <v>0</v>
      </c>
      <c r="I334" s="9">
        <v>0</v>
      </c>
      <c r="J334" s="756"/>
      <c r="K334" s="757"/>
    </row>
    <row r="335" spans="1:11" ht="12.75" customHeight="1">
      <c r="A335" s="762" t="s">
        <v>241</v>
      </c>
      <c r="B335" s="760" t="s">
        <v>118</v>
      </c>
      <c r="C335" s="762">
        <v>2016</v>
      </c>
      <c r="D335" s="37" t="s">
        <v>8</v>
      </c>
      <c r="E335" s="8">
        <f t="shared" ref="E335:E345" si="28">SUM(F335:I335)</f>
        <v>13114.6</v>
      </c>
      <c r="F335" s="8">
        <f>SUM(F336:F340)</f>
        <v>12452.5</v>
      </c>
      <c r="G335" s="8">
        <f>SUM(G336:G340)</f>
        <v>0</v>
      </c>
      <c r="H335" s="8">
        <f>SUM(H336:H340)</f>
        <v>662.1</v>
      </c>
      <c r="I335" s="8">
        <f>SUM(I336:I340)</f>
        <v>0</v>
      </c>
      <c r="J335" s="756" t="s">
        <v>119</v>
      </c>
      <c r="K335" s="757" t="s">
        <v>90</v>
      </c>
    </row>
    <row r="336" spans="1:11">
      <c r="A336" s="762"/>
      <c r="B336" s="760"/>
      <c r="C336" s="762"/>
      <c r="D336" s="37">
        <v>2016</v>
      </c>
      <c r="E336" s="8">
        <f t="shared" si="28"/>
        <v>13114.6</v>
      </c>
      <c r="F336" s="9">
        <v>12452.5</v>
      </c>
      <c r="G336" s="9">
        <v>0</v>
      </c>
      <c r="H336" s="9">
        <v>662.1</v>
      </c>
      <c r="I336" s="9">
        <v>0</v>
      </c>
      <c r="J336" s="756"/>
      <c r="K336" s="757"/>
    </row>
    <row r="337" spans="1:11">
      <c r="A337" s="762"/>
      <c r="B337" s="760"/>
      <c r="C337" s="762"/>
      <c r="D337" s="37">
        <v>2017</v>
      </c>
      <c r="E337" s="8">
        <f t="shared" si="28"/>
        <v>0</v>
      </c>
      <c r="F337" s="9">
        <v>0</v>
      </c>
      <c r="G337" s="9">
        <v>0</v>
      </c>
      <c r="H337" s="9">
        <v>0</v>
      </c>
      <c r="I337" s="9">
        <v>0</v>
      </c>
      <c r="J337" s="756"/>
      <c r="K337" s="757"/>
    </row>
    <row r="338" spans="1:11">
      <c r="A338" s="762"/>
      <c r="B338" s="760"/>
      <c r="C338" s="762"/>
      <c r="D338" s="57">
        <v>2018</v>
      </c>
      <c r="E338" s="8">
        <f t="shared" si="28"/>
        <v>0</v>
      </c>
      <c r="F338" s="9">
        <v>0</v>
      </c>
      <c r="G338" s="9">
        <v>0</v>
      </c>
      <c r="H338" s="9">
        <v>0</v>
      </c>
      <c r="I338" s="9">
        <v>0</v>
      </c>
      <c r="J338" s="756"/>
      <c r="K338" s="757"/>
    </row>
    <row r="339" spans="1:11">
      <c r="A339" s="762"/>
      <c r="B339" s="760"/>
      <c r="C339" s="762"/>
      <c r="D339" s="57">
        <v>2019</v>
      </c>
      <c r="E339" s="8">
        <f t="shared" si="28"/>
        <v>0</v>
      </c>
      <c r="F339" s="9">
        <v>0</v>
      </c>
      <c r="G339" s="9">
        <v>0</v>
      </c>
      <c r="H339" s="9">
        <v>0</v>
      </c>
      <c r="I339" s="9">
        <v>0</v>
      </c>
      <c r="J339" s="756"/>
      <c r="K339" s="757"/>
    </row>
    <row r="340" spans="1:11">
      <c r="A340" s="762"/>
      <c r="B340" s="760"/>
      <c r="C340" s="762"/>
      <c r="D340" s="57">
        <v>2020</v>
      </c>
      <c r="E340" s="8">
        <f>SUM(F340:I340)</f>
        <v>0</v>
      </c>
      <c r="F340" s="9">
        <v>0</v>
      </c>
      <c r="G340" s="9">
        <v>0</v>
      </c>
      <c r="H340" s="9">
        <v>0</v>
      </c>
      <c r="I340" s="9">
        <v>0</v>
      </c>
      <c r="J340" s="756"/>
      <c r="K340" s="757"/>
    </row>
    <row r="341" spans="1:11" ht="15" customHeight="1">
      <c r="A341" s="762" t="s">
        <v>242</v>
      </c>
      <c r="B341" s="760" t="s">
        <v>120</v>
      </c>
      <c r="C341" s="762" t="s">
        <v>30</v>
      </c>
      <c r="D341" s="37" t="s">
        <v>8</v>
      </c>
      <c r="E341" s="8">
        <f t="shared" si="28"/>
        <v>23223</v>
      </c>
      <c r="F341" s="8">
        <f>SUM(F342:F346)</f>
        <v>0</v>
      </c>
      <c r="G341" s="8">
        <f>SUM(G342:G346)</f>
        <v>22623</v>
      </c>
      <c r="H341" s="8">
        <f>SUM(H342:H346)</f>
        <v>600</v>
      </c>
      <c r="I341" s="8">
        <f>SUM(I342:I346)</f>
        <v>0</v>
      </c>
      <c r="J341" s="756" t="s">
        <v>121</v>
      </c>
      <c r="K341" s="757" t="s">
        <v>113</v>
      </c>
    </row>
    <row r="342" spans="1:11">
      <c r="A342" s="762"/>
      <c r="B342" s="760"/>
      <c r="C342" s="762"/>
      <c r="D342" s="37">
        <v>2016</v>
      </c>
      <c r="E342" s="8">
        <f t="shared" si="28"/>
        <v>11957.5</v>
      </c>
      <c r="F342" s="9">
        <v>0</v>
      </c>
      <c r="G342" s="9">
        <v>11357.5</v>
      </c>
      <c r="H342" s="9">
        <v>600</v>
      </c>
      <c r="I342" s="9">
        <v>0</v>
      </c>
      <c r="J342" s="756"/>
      <c r="K342" s="757"/>
    </row>
    <row r="343" spans="1:11">
      <c r="A343" s="762"/>
      <c r="B343" s="760"/>
      <c r="C343" s="762"/>
      <c r="D343" s="37">
        <v>2017</v>
      </c>
      <c r="E343" s="8">
        <f t="shared" si="28"/>
        <v>11265.5</v>
      </c>
      <c r="F343" s="9">
        <v>0</v>
      </c>
      <c r="G343" s="9">
        <v>11265.5</v>
      </c>
      <c r="H343" s="9">
        <v>0</v>
      </c>
      <c r="I343" s="9">
        <v>0</v>
      </c>
      <c r="J343" s="756"/>
      <c r="K343" s="757"/>
    </row>
    <row r="344" spans="1:11">
      <c r="A344" s="762"/>
      <c r="B344" s="760"/>
      <c r="C344" s="762"/>
      <c r="D344" s="57">
        <v>2018</v>
      </c>
      <c r="E344" s="8">
        <f t="shared" si="28"/>
        <v>0</v>
      </c>
      <c r="F344" s="9">
        <v>0</v>
      </c>
      <c r="G344" s="9">
        <v>0</v>
      </c>
      <c r="H344" s="9">
        <v>0</v>
      </c>
      <c r="I344" s="9">
        <v>0</v>
      </c>
      <c r="J344" s="756"/>
      <c r="K344" s="757"/>
    </row>
    <row r="345" spans="1:11">
      <c r="A345" s="762"/>
      <c r="B345" s="760"/>
      <c r="C345" s="762"/>
      <c r="D345" s="57">
        <v>2019</v>
      </c>
      <c r="E345" s="8">
        <f t="shared" si="28"/>
        <v>0</v>
      </c>
      <c r="F345" s="9">
        <v>0</v>
      </c>
      <c r="G345" s="9">
        <v>0</v>
      </c>
      <c r="H345" s="9">
        <v>0</v>
      </c>
      <c r="I345" s="9">
        <v>0</v>
      </c>
      <c r="J345" s="756"/>
      <c r="K345" s="757"/>
    </row>
    <row r="346" spans="1:11">
      <c r="A346" s="762"/>
      <c r="B346" s="760"/>
      <c r="C346" s="762"/>
      <c r="D346" s="57">
        <v>2020</v>
      </c>
      <c r="E346" s="8">
        <f>SUM(F346:I346)</f>
        <v>0</v>
      </c>
      <c r="F346" s="9">
        <v>0</v>
      </c>
      <c r="G346" s="9">
        <v>0</v>
      </c>
      <c r="H346" s="9">
        <v>0</v>
      </c>
      <c r="I346" s="9">
        <v>0</v>
      </c>
      <c r="J346" s="756"/>
      <c r="K346" s="757"/>
    </row>
    <row r="347" spans="1:11" ht="15" customHeight="1">
      <c r="A347" s="762" t="s">
        <v>243</v>
      </c>
      <c r="B347" s="760" t="s">
        <v>122</v>
      </c>
      <c r="C347" s="762">
        <v>2016</v>
      </c>
      <c r="D347" s="37" t="s">
        <v>8</v>
      </c>
      <c r="E347" s="8">
        <f t="shared" ref="E347:E410" si="29">SUM(F347:I347)</f>
        <v>6327</v>
      </c>
      <c r="F347" s="8">
        <f>SUM(F348:F352)</f>
        <v>6327</v>
      </c>
      <c r="G347" s="8">
        <f>SUM(G348:G352)</f>
        <v>0</v>
      </c>
      <c r="H347" s="8">
        <f>SUM(H348:H352)</f>
        <v>0</v>
      </c>
      <c r="I347" s="8">
        <f>SUM(I348:I352)</f>
        <v>0</v>
      </c>
      <c r="J347" s="756" t="s">
        <v>123</v>
      </c>
      <c r="K347" s="757" t="s">
        <v>23</v>
      </c>
    </row>
    <row r="348" spans="1:11">
      <c r="A348" s="762"/>
      <c r="B348" s="760"/>
      <c r="C348" s="762"/>
      <c r="D348" s="37">
        <v>2016</v>
      </c>
      <c r="E348" s="8">
        <f t="shared" si="29"/>
        <v>6327</v>
      </c>
      <c r="F348" s="9">
        <v>6327</v>
      </c>
      <c r="G348" s="9">
        <v>0</v>
      </c>
      <c r="H348" s="9">
        <v>0</v>
      </c>
      <c r="I348" s="9">
        <v>0</v>
      </c>
      <c r="J348" s="756"/>
      <c r="K348" s="757"/>
    </row>
    <row r="349" spans="1:11">
      <c r="A349" s="762"/>
      <c r="B349" s="760"/>
      <c r="C349" s="762"/>
      <c r="D349" s="37">
        <v>2017</v>
      </c>
      <c r="E349" s="8">
        <f t="shared" si="29"/>
        <v>0</v>
      </c>
      <c r="F349" s="9">
        <v>0</v>
      </c>
      <c r="G349" s="9">
        <v>0</v>
      </c>
      <c r="H349" s="9">
        <v>0</v>
      </c>
      <c r="I349" s="9">
        <v>0</v>
      </c>
      <c r="J349" s="756"/>
      <c r="K349" s="757"/>
    </row>
    <row r="350" spans="1:11">
      <c r="A350" s="762"/>
      <c r="B350" s="760"/>
      <c r="C350" s="762"/>
      <c r="D350" s="57">
        <v>2018</v>
      </c>
      <c r="E350" s="8">
        <f t="shared" si="29"/>
        <v>0</v>
      </c>
      <c r="F350" s="9">
        <v>0</v>
      </c>
      <c r="G350" s="9">
        <v>0</v>
      </c>
      <c r="H350" s="9">
        <v>0</v>
      </c>
      <c r="I350" s="9">
        <v>0</v>
      </c>
      <c r="J350" s="756"/>
      <c r="K350" s="757"/>
    </row>
    <row r="351" spans="1:11">
      <c r="A351" s="762"/>
      <c r="B351" s="760"/>
      <c r="C351" s="762"/>
      <c r="D351" s="57">
        <v>2019</v>
      </c>
      <c r="E351" s="8">
        <f>SUM(F351:I351)</f>
        <v>0</v>
      </c>
      <c r="F351" s="9">
        <v>0</v>
      </c>
      <c r="G351" s="9">
        <v>0</v>
      </c>
      <c r="H351" s="9">
        <v>0</v>
      </c>
      <c r="I351" s="9">
        <v>0</v>
      </c>
      <c r="J351" s="756"/>
      <c r="K351" s="757"/>
    </row>
    <row r="352" spans="1:11">
      <c r="A352" s="762"/>
      <c r="B352" s="760"/>
      <c r="C352" s="762"/>
      <c r="D352" s="57">
        <v>2020</v>
      </c>
      <c r="E352" s="8">
        <f>SUM(F352:I352)</f>
        <v>0</v>
      </c>
      <c r="F352" s="9">
        <v>0</v>
      </c>
      <c r="G352" s="9">
        <v>0</v>
      </c>
      <c r="H352" s="9">
        <v>0</v>
      </c>
      <c r="I352" s="9">
        <v>0</v>
      </c>
      <c r="J352" s="756"/>
      <c r="K352" s="757"/>
    </row>
    <row r="353" spans="1:11" ht="15" customHeight="1">
      <c r="A353" s="762" t="s">
        <v>244</v>
      </c>
      <c r="B353" s="760" t="s">
        <v>124</v>
      </c>
      <c r="C353" s="762">
        <v>2016</v>
      </c>
      <c r="D353" s="37" t="s">
        <v>8</v>
      </c>
      <c r="E353" s="8">
        <f t="shared" si="29"/>
        <v>600</v>
      </c>
      <c r="F353" s="8">
        <f>SUM(F354:F358)</f>
        <v>600</v>
      </c>
      <c r="G353" s="8">
        <f>SUM(G354:G358)</f>
        <v>0</v>
      </c>
      <c r="H353" s="8">
        <f>SUM(H354:H358)</f>
        <v>0</v>
      </c>
      <c r="I353" s="8">
        <f>SUM(I354:I358)</f>
        <v>0</v>
      </c>
      <c r="J353" s="756" t="s">
        <v>125</v>
      </c>
      <c r="K353" s="757" t="s">
        <v>23</v>
      </c>
    </row>
    <row r="354" spans="1:11">
      <c r="A354" s="762"/>
      <c r="B354" s="760"/>
      <c r="C354" s="762"/>
      <c r="D354" s="37">
        <v>2016</v>
      </c>
      <c r="E354" s="8">
        <f t="shared" si="29"/>
        <v>600</v>
      </c>
      <c r="F354" s="9">
        <v>600</v>
      </c>
      <c r="G354" s="9">
        <v>0</v>
      </c>
      <c r="H354" s="9">
        <v>0</v>
      </c>
      <c r="I354" s="9">
        <v>0</v>
      </c>
      <c r="J354" s="756"/>
      <c r="K354" s="757"/>
    </row>
    <row r="355" spans="1:11">
      <c r="A355" s="762"/>
      <c r="B355" s="760"/>
      <c r="C355" s="762"/>
      <c r="D355" s="37">
        <v>2017</v>
      </c>
      <c r="E355" s="8">
        <f t="shared" si="29"/>
        <v>0</v>
      </c>
      <c r="F355" s="9">
        <v>0</v>
      </c>
      <c r="G355" s="9">
        <v>0</v>
      </c>
      <c r="H355" s="9">
        <v>0</v>
      </c>
      <c r="I355" s="9">
        <v>0</v>
      </c>
      <c r="J355" s="756"/>
      <c r="K355" s="757"/>
    </row>
    <row r="356" spans="1:11">
      <c r="A356" s="762"/>
      <c r="B356" s="760"/>
      <c r="C356" s="762"/>
      <c r="D356" s="57">
        <v>2018</v>
      </c>
      <c r="E356" s="8">
        <f t="shared" si="29"/>
        <v>0</v>
      </c>
      <c r="F356" s="9">
        <v>0</v>
      </c>
      <c r="G356" s="9">
        <v>0</v>
      </c>
      <c r="H356" s="9">
        <v>0</v>
      </c>
      <c r="I356" s="9">
        <v>0</v>
      </c>
      <c r="J356" s="756"/>
      <c r="K356" s="757"/>
    </row>
    <row r="357" spans="1:11">
      <c r="A357" s="762"/>
      <c r="B357" s="760"/>
      <c r="C357" s="762"/>
      <c r="D357" s="57">
        <v>2019</v>
      </c>
      <c r="E357" s="8">
        <f t="shared" si="29"/>
        <v>0</v>
      </c>
      <c r="F357" s="9">
        <v>0</v>
      </c>
      <c r="G357" s="9">
        <v>0</v>
      </c>
      <c r="H357" s="9">
        <v>0</v>
      </c>
      <c r="I357" s="9">
        <v>0</v>
      </c>
      <c r="J357" s="756"/>
      <c r="K357" s="757"/>
    </row>
    <row r="358" spans="1:11">
      <c r="A358" s="762"/>
      <c r="B358" s="760"/>
      <c r="C358" s="762"/>
      <c r="D358" s="57">
        <v>2020</v>
      </c>
      <c r="E358" s="8">
        <f t="shared" si="29"/>
        <v>0</v>
      </c>
      <c r="F358" s="9">
        <v>0</v>
      </c>
      <c r="G358" s="9">
        <v>0</v>
      </c>
      <c r="H358" s="9">
        <v>0</v>
      </c>
      <c r="I358" s="9">
        <v>0</v>
      </c>
      <c r="J358" s="756"/>
      <c r="K358" s="757"/>
    </row>
    <row r="359" spans="1:11" ht="15" customHeight="1">
      <c r="A359" s="762" t="s">
        <v>245</v>
      </c>
      <c r="B359" s="760" t="s">
        <v>126</v>
      </c>
      <c r="C359" s="762">
        <v>2017</v>
      </c>
      <c r="D359" s="37" t="s">
        <v>8</v>
      </c>
      <c r="E359" s="8">
        <f t="shared" si="29"/>
        <v>9490.9</v>
      </c>
      <c r="F359" s="8">
        <f>SUM(F360:F364)</f>
        <v>8990.9</v>
      </c>
      <c r="G359" s="8">
        <f>SUM(G360:G364)</f>
        <v>0</v>
      </c>
      <c r="H359" s="8">
        <f>SUM(H360:H364)</f>
        <v>500</v>
      </c>
      <c r="I359" s="8">
        <f>SUM(I360:I364)</f>
        <v>0</v>
      </c>
      <c r="J359" s="756" t="s">
        <v>127</v>
      </c>
      <c r="K359" s="757" t="s">
        <v>128</v>
      </c>
    </row>
    <row r="360" spans="1:11">
      <c r="A360" s="762"/>
      <c r="B360" s="760"/>
      <c r="C360" s="762"/>
      <c r="D360" s="37">
        <v>2016</v>
      </c>
      <c r="E360" s="8">
        <f t="shared" si="29"/>
        <v>0</v>
      </c>
      <c r="F360" s="9">
        <v>0</v>
      </c>
      <c r="G360" s="9">
        <v>0</v>
      </c>
      <c r="H360" s="9">
        <v>0</v>
      </c>
      <c r="I360" s="9">
        <v>0</v>
      </c>
      <c r="J360" s="756"/>
      <c r="K360" s="757"/>
    </row>
    <row r="361" spans="1:11">
      <c r="A361" s="762"/>
      <c r="B361" s="760"/>
      <c r="C361" s="762"/>
      <c r="D361" s="37">
        <v>2017</v>
      </c>
      <c r="E361" s="8">
        <f t="shared" si="29"/>
        <v>9490.9</v>
      </c>
      <c r="F361" s="9">
        <v>8990.9</v>
      </c>
      <c r="G361" s="9">
        <v>0</v>
      </c>
      <c r="H361" s="9">
        <v>500</v>
      </c>
      <c r="I361" s="9">
        <v>0</v>
      </c>
      <c r="J361" s="756"/>
      <c r="K361" s="757"/>
    </row>
    <row r="362" spans="1:11">
      <c r="A362" s="762"/>
      <c r="B362" s="760"/>
      <c r="C362" s="762"/>
      <c r="D362" s="57">
        <v>2018</v>
      </c>
      <c r="E362" s="8">
        <f t="shared" si="29"/>
        <v>0</v>
      </c>
      <c r="F362" s="9">
        <v>0</v>
      </c>
      <c r="G362" s="9">
        <v>0</v>
      </c>
      <c r="H362" s="9">
        <v>0</v>
      </c>
      <c r="I362" s="9">
        <v>0</v>
      </c>
      <c r="J362" s="756"/>
      <c r="K362" s="757"/>
    </row>
    <row r="363" spans="1:11">
      <c r="A363" s="762"/>
      <c r="B363" s="760"/>
      <c r="C363" s="762"/>
      <c r="D363" s="57">
        <v>2019</v>
      </c>
      <c r="E363" s="8">
        <f t="shared" si="29"/>
        <v>0</v>
      </c>
      <c r="F363" s="9">
        <v>0</v>
      </c>
      <c r="G363" s="9">
        <v>0</v>
      </c>
      <c r="H363" s="9">
        <v>0</v>
      </c>
      <c r="I363" s="9">
        <v>0</v>
      </c>
      <c r="J363" s="756"/>
      <c r="K363" s="757"/>
    </row>
    <row r="364" spans="1:11">
      <c r="A364" s="762"/>
      <c r="B364" s="760"/>
      <c r="C364" s="762"/>
      <c r="D364" s="57">
        <v>2020</v>
      </c>
      <c r="E364" s="8">
        <f>SUM(F364:I364)</f>
        <v>0</v>
      </c>
      <c r="F364" s="9">
        <v>0</v>
      </c>
      <c r="G364" s="9">
        <v>0</v>
      </c>
      <c r="H364" s="9">
        <v>0</v>
      </c>
      <c r="I364" s="9">
        <v>0</v>
      </c>
      <c r="J364" s="756"/>
      <c r="K364" s="757"/>
    </row>
    <row r="365" spans="1:11" ht="15" customHeight="1">
      <c r="A365" s="762" t="s">
        <v>246</v>
      </c>
      <c r="B365" s="760" t="s">
        <v>247</v>
      </c>
      <c r="C365" s="762">
        <v>2017</v>
      </c>
      <c r="D365" s="37" t="s">
        <v>8</v>
      </c>
      <c r="E365" s="8">
        <f t="shared" si="29"/>
        <v>2086.5</v>
      </c>
      <c r="F365" s="8">
        <f>SUM(F366:F370)</f>
        <v>1936.5</v>
      </c>
      <c r="G365" s="8">
        <f>SUM(G366:G370)</f>
        <v>0</v>
      </c>
      <c r="H365" s="8">
        <f>SUM(H366:H370)</f>
        <v>150</v>
      </c>
      <c r="I365" s="8">
        <f>SUM(I366:I370)</f>
        <v>0</v>
      </c>
      <c r="J365" s="756" t="s">
        <v>248</v>
      </c>
      <c r="K365" s="757" t="s">
        <v>113</v>
      </c>
    </row>
    <row r="366" spans="1:11">
      <c r="A366" s="762"/>
      <c r="B366" s="760"/>
      <c r="C366" s="762"/>
      <c r="D366" s="37">
        <v>2016</v>
      </c>
      <c r="E366" s="8">
        <f t="shared" si="29"/>
        <v>0</v>
      </c>
      <c r="F366" s="9">
        <v>0</v>
      </c>
      <c r="G366" s="9">
        <v>0</v>
      </c>
      <c r="H366" s="9">
        <v>0</v>
      </c>
      <c r="I366" s="9">
        <v>0</v>
      </c>
      <c r="J366" s="756"/>
      <c r="K366" s="757"/>
    </row>
    <row r="367" spans="1:11">
      <c r="A367" s="762"/>
      <c r="B367" s="760"/>
      <c r="C367" s="762"/>
      <c r="D367" s="37">
        <v>2017</v>
      </c>
      <c r="E367" s="8">
        <f t="shared" si="29"/>
        <v>2086.5</v>
      </c>
      <c r="F367" s="9">
        <v>1936.5</v>
      </c>
      <c r="G367" s="9">
        <v>0</v>
      </c>
      <c r="H367" s="9">
        <v>150</v>
      </c>
      <c r="I367" s="9">
        <v>0</v>
      </c>
      <c r="J367" s="756"/>
      <c r="K367" s="757"/>
    </row>
    <row r="368" spans="1:11">
      <c r="A368" s="762"/>
      <c r="B368" s="760"/>
      <c r="C368" s="762"/>
      <c r="D368" s="57">
        <v>2018</v>
      </c>
      <c r="E368" s="8">
        <f t="shared" si="29"/>
        <v>0</v>
      </c>
      <c r="F368" s="9">
        <v>0</v>
      </c>
      <c r="G368" s="9">
        <v>0</v>
      </c>
      <c r="H368" s="9">
        <v>0</v>
      </c>
      <c r="I368" s="9">
        <v>0</v>
      </c>
      <c r="J368" s="756"/>
      <c r="K368" s="757"/>
    </row>
    <row r="369" spans="1:11">
      <c r="A369" s="762"/>
      <c r="B369" s="760"/>
      <c r="C369" s="762"/>
      <c r="D369" s="57">
        <v>2019</v>
      </c>
      <c r="E369" s="8">
        <f t="shared" si="29"/>
        <v>0</v>
      </c>
      <c r="F369" s="9">
        <v>0</v>
      </c>
      <c r="G369" s="9">
        <v>0</v>
      </c>
      <c r="H369" s="9">
        <v>0</v>
      </c>
      <c r="I369" s="9">
        <v>0</v>
      </c>
      <c r="J369" s="756"/>
      <c r="K369" s="757"/>
    </row>
    <row r="370" spans="1:11">
      <c r="A370" s="762"/>
      <c r="B370" s="760"/>
      <c r="C370" s="762"/>
      <c r="D370" s="57">
        <v>2020</v>
      </c>
      <c r="E370" s="8">
        <f>SUM(F370:I370)</f>
        <v>0</v>
      </c>
      <c r="F370" s="9">
        <v>0</v>
      </c>
      <c r="G370" s="9">
        <v>0</v>
      </c>
      <c r="H370" s="9">
        <v>0</v>
      </c>
      <c r="I370" s="9">
        <v>0</v>
      </c>
      <c r="J370" s="756"/>
      <c r="K370" s="757"/>
    </row>
    <row r="371" spans="1:11" ht="15" customHeight="1">
      <c r="A371" s="762" t="s">
        <v>249</v>
      </c>
      <c r="B371" s="760" t="s">
        <v>165</v>
      </c>
      <c r="C371" s="762">
        <v>2017</v>
      </c>
      <c r="D371" s="37" t="s">
        <v>8</v>
      </c>
      <c r="E371" s="8">
        <f t="shared" si="29"/>
        <v>25409</v>
      </c>
      <c r="F371" s="8">
        <f>SUM(F372:F376)</f>
        <v>23838.2</v>
      </c>
      <c r="G371" s="8">
        <f>SUM(G372:G376)</f>
        <v>0</v>
      </c>
      <c r="H371" s="8">
        <f>SUM(H372:H376)</f>
        <v>1570.8</v>
      </c>
      <c r="I371" s="8">
        <f>SUM(I372:I376)</f>
        <v>0</v>
      </c>
      <c r="J371" s="756" t="s">
        <v>166</v>
      </c>
      <c r="K371" s="757" t="s">
        <v>113</v>
      </c>
    </row>
    <row r="372" spans="1:11">
      <c r="A372" s="762"/>
      <c r="B372" s="760"/>
      <c r="C372" s="762"/>
      <c r="D372" s="37">
        <v>2016</v>
      </c>
      <c r="E372" s="8">
        <f t="shared" si="29"/>
        <v>0</v>
      </c>
      <c r="F372" s="9">
        <v>0</v>
      </c>
      <c r="G372" s="9">
        <v>0</v>
      </c>
      <c r="H372" s="9">
        <v>0</v>
      </c>
      <c r="I372" s="9">
        <v>0</v>
      </c>
      <c r="J372" s="756"/>
      <c r="K372" s="757"/>
    </row>
    <row r="373" spans="1:11">
      <c r="A373" s="762"/>
      <c r="B373" s="760"/>
      <c r="C373" s="762"/>
      <c r="D373" s="37">
        <v>2017</v>
      </c>
      <c r="E373" s="8">
        <f t="shared" si="29"/>
        <v>25409</v>
      </c>
      <c r="F373" s="9">
        <v>23838.2</v>
      </c>
      <c r="G373" s="9">
        <v>0</v>
      </c>
      <c r="H373" s="9">
        <v>1570.8</v>
      </c>
      <c r="I373" s="9">
        <v>0</v>
      </c>
      <c r="J373" s="756"/>
      <c r="K373" s="757"/>
    </row>
    <row r="374" spans="1:11">
      <c r="A374" s="762"/>
      <c r="B374" s="760"/>
      <c r="C374" s="762"/>
      <c r="D374" s="57">
        <v>2018</v>
      </c>
      <c r="E374" s="8">
        <f t="shared" si="29"/>
        <v>0</v>
      </c>
      <c r="F374" s="9">
        <v>0</v>
      </c>
      <c r="G374" s="9">
        <v>0</v>
      </c>
      <c r="H374" s="9">
        <v>0</v>
      </c>
      <c r="I374" s="9">
        <v>0</v>
      </c>
      <c r="J374" s="756"/>
      <c r="K374" s="757"/>
    </row>
    <row r="375" spans="1:11">
      <c r="A375" s="762"/>
      <c r="B375" s="760"/>
      <c r="C375" s="762"/>
      <c r="D375" s="57">
        <v>2019</v>
      </c>
      <c r="E375" s="8">
        <f t="shared" si="29"/>
        <v>0</v>
      </c>
      <c r="F375" s="9">
        <v>0</v>
      </c>
      <c r="G375" s="9">
        <v>0</v>
      </c>
      <c r="H375" s="9">
        <v>0</v>
      </c>
      <c r="I375" s="9">
        <v>0</v>
      </c>
      <c r="J375" s="756"/>
      <c r="K375" s="757"/>
    </row>
    <row r="376" spans="1:11">
      <c r="A376" s="762"/>
      <c r="B376" s="760"/>
      <c r="C376" s="762"/>
      <c r="D376" s="57">
        <v>2020</v>
      </c>
      <c r="E376" s="8">
        <f t="shared" si="29"/>
        <v>0</v>
      </c>
      <c r="F376" s="9">
        <v>0</v>
      </c>
      <c r="G376" s="9">
        <v>0</v>
      </c>
      <c r="H376" s="9">
        <v>0</v>
      </c>
      <c r="I376" s="9">
        <v>0</v>
      </c>
      <c r="J376" s="756"/>
      <c r="K376" s="757"/>
    </row>
    <row r="377" spans="1:11" ht="15" customHeight="1">
      <c r="A377" s="762" t="s">
        <v>250</v>
      </c>
      <c r="B377" s="760" t="s">
        <v>167</v>
      </c>
      <c r="C377" s="762">
        <v>2017</v>
      </c>
      <c r="D377" s="37" t="s">
        <v>8</v>
      </c>
      <c r="E377" s="8">
        <f t="shared" si="29"/>
        <v>10000</v>
      </c>
      <c r="F377" s="8">
        <f>SUM(F378:F382)</f>
        <v>9500</v>
      </c>
      <c r="G377" s="8">
        <f>SUM(G378:G382)</f>
        <v>0</v>
      </c>
      <c r="H377" s="8">
        <f>SUM(H378:H382)</f>
        <v>500</v>
      </c>
      <c r="I377" s="8">
        <f>SUM(I378:I382)</f>
        <v>0</v>
      </c>
      <c r="J377" s="756" t="s">
        <v>168</v>
      </c>
      <c r="K377" s="757" t="s">
        <v>169</v>
      </c>
    </row>
    <row r="378" spans="1:11">
      <c r="A378" s="762"/>
      <c r="B378" s="760"/>
      <c r="C378" s="762"/>
      <c r="D378" s="37">
        <v>2016</v>
      </c>
      <c r="E378" s="8">
        <f t="shared" si="29"/>
        <v>0</v>
      </c>
      <c r="F378" s="9">
        <v>0</v>
      </c>
      <c r="G378" s="9">
        <v>0</v>
      </c>
      <c r="H378" s="9">
        <v>0</v>
      </c>
      <c r="I378" s="9">
        <v>0</v>
      </c>
      <c r="J378" s="756"/>
      <c r="K378" s="757"/>
    </row>
    <row r="379" spans="1:11">
      <c r="A379" s="762"/>
      <c r="B379" s="760"/>
      <c r="C379" s="762"/>
      <c r="D379" s="37">
        <v>2017</v>
      </c>
      <c r="E379" s="8">
        <f t="shared" si="29"/>
        <v>10000</v>
      </c>
      <c r="F379" s="9">
        <v>9500</v>
      </c>
      <c r="G379" s="9">
        <v>0</v>
      </c>
      <c r="H379" s="9">
        <v>500</v>
      </c>
      <c r="I379" s="9">
        <v>0</v>
      </c>
      <c r="J379" s="756"/>
      <c r="K379" s="757"/>
    </row>
    <row r="380" spans="1:11">
      <c r="A380" s="762"/>
      <c r="B380" s="760"/>
      <c r="C380" s="762"/>
      <c r="D380" s="57">
        <v>2018</v>
      </c>
      <c r="E380" s="8">
        <f t="shared" si="29"/>
        <v>0</v>
      </c>
      <c r="F380" s="9">
        <v>0</v>
      </c>
      <c r="G380" s="9">
        <v>0</v>
      </c>
      <c r="H380" s="9">
        <v>0</v>
      </c>
      <c r="I380" s="9">
        <v>0</v>
      </c>
      <c r="J380" s="756"/>
      <c r="K380" s="757"/>
    </row>
    <row r="381" spans="1:11">
      <c r="A381" s="762"/>
      <c r="B381" s="760"/>
      <c r="C381" s="762"/>
      <c r="D381" s="57">
        <v>2019</v>
      </c>
      <c r="E381" s="8">
        <f t="shared" si="29"/>
        <v>0</v>
      </c>
      <c r="F381" s="9">
        <v>0</v>
      </c>
      <c r="G381" s="9">
        <v>0</v>
      </c>
      <c r="H381" s="9">
        <v>0</v>
      </c>
      <c r="I381" s="9">
        <v>0</v>
      </c>
      <c r="J381" s="756"/>
      <c r="K381" s="757"/>
    </row>
    <row r="382" spans="1:11">
      <c r="A382" s="762"/>
      <c r="B382" s="760"/>
      <c r="C382" s="762"/>
      <c r="D382" s="57">
        <v>2020</v>
      </c>
      <c r="E382" s="8">
        <f t="shared" si="29"/>
        <v>0</v>
      </c>
      <c r="F382" s="9">
        <v>0</v>
      </c>
      <c r="G382" s="9">
        <v>0</v>
      </c>
      <c r="H382" s="9">
        <v>0</v>
      </c>
      <c r="I382" s="9">
        <v>0</v>
      </c>
      <c r="J382" s="756"/>
      <c r="K382" s="757"/>
    </row>
    <row r="383" spans="1:11" s="2" customFormat="1" ht="15" customHeight="1">
      <c r="A383" s="762" t="s">
        <v>251</v>
      </c>
      <c r="B383" s="760" t="s">
        <v>294</v>
      </c>
      <c r="C383" s="762">
        <v>2018</v>
      </c>
      <c r="D383" s="51" t="s">
        <v>8</v>
      </c>
      <c r="E383" s="8">
        <f t="shared" si="29"/>
        <v>6633.9</v>
      </c>
      <c r="F383" s="8">
        <f>SUM(F384:F388)</f>
        <v>6302.2</v>
      </c>
      <c r="G383" s="8">
        <f>SUM(G384:G388)</f>
        <v>0</v>
      </c>
      <c r="H383" s="8">
        <f>SUM(H384:H388)</f>
        <v>331.7</v>
      </c>
      <c r="I383" s="8">
        <f>SUM(I384:I388)</f>
        <v>0</v>
      </c>
      <c r="J383" s="756" t="s">
        <v>295</v>
      </c>
      <c r="K383" s="757" t="s">
        <v>113</v>
      </c>
    </row>
    <row r="384" spans="1:11" s="2" customFormat="1">
      <c r="A384" s="762"/>
      <c r="B384" s="760"/>
      <c r="C384" s="762"/>
      <c r="D384" s="51">
        <v>2016</v>
      </c>
      <c r="E384" s="8">
        <f t="shared" si="29"/>
        <v>0</v>
      </c>
      <c r="F384" s="9">
        <v>0</v>
      </c>
      <c r="G384" s="9">
        <v>0</v>
      </c>
      <c r="H384" s="9">
        <v>0</v>
      </c>
      <c r="I384" s="9">
        <v>0</v>
      </c>
      <c r="J384" s="756"/>
      <c r="K384" s="757"/>
    </row>
    <row r="385" spans="1:11" s="2" customFormat="1">
      <c r="A385" s="762"/>
      <c r="B385" s="760"/>
      <c r="C385" s="762"/>
      <c r="D385" s="51">
        <v>2017</v>
      </c>
      <c r="E385" s="8">
        <f t="shared" si="29"/>
        <v>0</v>
      </c>
      <c r="F385" s="9">
        <v>0</v>
      </c>
      <c r="G385" s="9">
        <v>0</v>
      </c>
      <c r="H385" s="9">
        <v>0</v>
      </c>
      <c r="I385" s="9">
        <v>0</v>
      </c>
      <c r="J385" s="756"/>
      <c r="K385" s="757"/>
    </row>
    <row r="386" spans="1:11" s="2" customFormat="1">
      <c r="A386" s="762"/>
      <c r="B386" s="760"/>
      <c r="C386" s="762"/>
      <c r="D386" s="55">
        <v>2018</v>
      </c>
      <c r="E386" s="8">
        <f t="shared" si="29"/>
        <v>6633.9</v>
      </c>
      <c r="F386" s="9">
        <v>6302.2</v>
      </c>
      <c r="G386" s="9">
        <v>0</v>
      </c>
      <c r="H386" s="9">
        <v>331.7</v>
      </c>
      <c r="I386" s="9">
        <v>0</v>
      </c>
      <c r="J386" s="756"/>
      <c r="K386" s="757"/>
    </row>
    <row r="387" spans="1:11" s="2" customFormat="1">
      <c r="A387" s="762"/>
      <c r="B387" s="760"/>
      <c r="C387" s="762"/>
      <c r="D387" s="55">
        <v>2019</v>
      </c>
      <c r="E387" s="8">
        <f t="shared" si="29"/>
        <v>0</v>
      </c>
      <c r="F387" s="9">
        <v>0</v>
      </c>
      <c r="G387" s="9">
        <v>0</v>
      </c>
      <c r="H387" s="9">
        <v>0</v>
      </c>
      <c r="I387" s="9">
        <v>0</v>
      </c>
      <c r="J387" s="756"/>
      <c r="K387" s="757"/>
    </row>
    <row r="388" spans="1:11" s="2" customFormat="1">
      <c r="A388" s="762"/>
      <c r="B388" s="760"/>
      <c r="C388" s="762"/>
      <c r="D388" s="55">
        <v>2020</v>
      </c>
      <c r="E388" s="8">
        <f t="shared" si="29"/>
        <v>0</v>
      </c>
      <c r="F388" s="9">
        <v>0</v>
      </c>
      <c r="G388" s="9">
        <v>0</v>
      </c>
      <c r="H388" s="9">
        <v>0</v>
      </c>
      <c r="I388" s="9">
        <v>0</v>
      </c>
      <c r="J388" s="756"/>
      <c r="K388" s="757"/>
    </row>
    <row r="389" spans="1:11" s="2" customFormat="1" ht="15" customHeight="1">
      <c r="A389" s="762" t="s">
        <v>254</v>
      </c>
      <c r="B389" s="760" t="s">
        <v>255</v>
      </c>
      <c r="C389" s="762" t="s">
        <v>256</v>
      </c>
      <c r="D389" s="51" t="s">
        <v>8</v>
      </c>
      <c r="E389" s="8">
        <f t="shared" si="29"/>
        <v>75252.3</v>
      </c>
      <c r="F389" s="8">
        <f>SUM(F390:F394)</f>
        <v>70586.600000000006</v>
      </c>
      <c r="G389" s="8">
        <f>SUM(G390:G394)</f>
        <v>0</v>
      </c>
      <c r="H389" s="8">
        <f>SUM(H390:H394)</f>
        <v>4665.7</v>
      </c>
      <c r="I389" s="8">
        <f>SUM(I390:I394)</f>
        <v>0</v>
      </c>
      <c r="J389" s="756" t="s">
        <v>257</v>
      </c>
      <c r="K389" s="757" t="s">
        <v>169</v>
      </c>
    </row>
    <row r="390" spans="1:11" s="2" customFormat="1">
      <c r="A390" s="762"/>
      <c r="B390" s="760"/>
      <c r="C390" s="762"/>
      <c r="D390" s="51">
        <v>2016</v>
      </c>
      <c r="E390" s="8">
        <f t="shared" si="29"/>
        <v>0</v>
      </c>
      <c r="F390" s="9">
        <v>0</v>
      </c>
      <c r="G390" s="9">
        <v>0</v>
      </c>
      <c r="H390" s="9">
        <v>0</v>
      </c>
      <c r="I390" s="9">
        <v>0</v>
      </c>
      <c r="J390" s="756"/>
      <c r="K390" s="757"/>
    </row>
    <row r="391" spans="1:11" s="2" customFormat="1">
      <c r="A391" s="762"/>
      <c r="B391" s="760"/>
      <c r="C391" s="762"/>
      <c r="D391" s="51">
        <v>2017</v>
      </c>
      <c r="E391" s="8">
        <f t="shared" si="29"/>
        <v>0</v>
      </c>
      <c r="F391" s="9">
        <v>0</v>
      </c>
      <c r="G391" s="9">
        <v>0</v>
      </c>
      <c r="H391" s="9">
        <v>0</v>
      </c>
      <c r="I391" s="9">
        <v>0</v>
      </c>
      <c r="J391" s="756"/>
      <c r="K391" s="757"/>
    </row>
    <row r="392" spans="1:11" s="2" customFormat="1">
      <c r="A392" s="762"/>
      <c r="B392" s="760"/>
      <c r="C392" s="762"/>
      <c r="D392" s="55">
        <v>2018</v>
      </c>
      <c r="E392" s="8">
        <f t="shared" si="29"/>
        <v>18773.5</v>
      </c>
      <c r="F392" s="9">
        <v>17609.5</v>
      </c>
      <c r="G392" s="9">
        <v>0</v>
      </c>
      <c r="H392" s="9">
        <v>1164</v>
      </c>
      <c r="I392" s="9">
        <v>0</v>
      </c>
      <c r="J392" s="756"/>
      <c r="K392" s="757"/>
    </row>
    <row r="393" spans="1:11" s="2" customFormat="1">
      <c r="A393" s="762"/>
      <c r="B393" s="760"/>
      <c r="C393" s="762"/>
      <c r="D393" s="55">
        <v>2019</v>
      </c>
      <c r="E393" s="8">
        <f t="shared" si="29"/>
        <v>56478.799999999996</v>
      </c>
      <c r="F393" s="9">
        <v>52977.1</v>
      </c>
      <c r="G393" s="9">
        <v>0</v>
      </c>
      <c r="H393" s="9">
        <v>3501.7</v>
      </c>
      <c r="I393" s="9">
        <v>0</v>
      </c>
      <c r="J393" s="756"/>
      <c r="K393" s="757"/>
    </row>
    <row r="394" spans="1:11" s="2" customFormat="1">
      <c r="A394" s="762"/>
      <c r="B394" s="760"/>
      <c r="C394" s="762"/>
      <c r="D394" s="55">
        <v>2020</v>
      </c>
      <c r="E394" s="8">
        <f t="shared" si="29"/>
        <v>0</v>
      </c>
      <c r="F394" s="9">
        <v>0</v>
      </c>
      <c r="G394" s="9">
        <v>0</v>
      </c>
      <c r="H394" s="9">
        <v>0</v>
      </c>
      <c r="I394" s="9">
        <v>0</v>
      </c>
      <c r="J394" s="756"/>
      <c r="K394" s="757"/>
    </row>
    <row r="395" spans="1:11" s="2" customFormat="1" ht="15" customHeight="1">
      <c r="A395" s="762" t="s">
        <v>258</v>
      </c>
      <c r="B395" s="760" t="s">
        <v>259</v>
      </c>
      <c r="C395" s="762">
        <v>2018</v>
      </c>
      <c r="D395" s="51" t="s">
        <v>8</v>
      </c>
      <c r="E395" s="8">
        <f t="shared" si="29"/>
        <v>11650.4</v>
      </c>
      <c r="F395" s="8">
        <f>SUM(F396:F400)</f>
        <v>11067.9</v>
      </c>
      <c r="G395" s="8">
        <f>SUM(G396:G400)</f>
        <v>0</v>
      </c>
      <c r="H395" s="8">
        <f>SUM(H396:H400)</f>
        <v>582.5</v>
      </c>
      <c r="I395" s="8">
        <f>SUM(I396:I400)</f>
        <v>0</v>
      </c>
      <c r="J395" s="756" t="s">
        <v>260</v>
      </c>
      <c r="K395" s="757" t="s">
        <v>169</v>
      </c>
    </row>
    <row r="396" spans="1:11" s="2" customFormat="1">
      <c r="A396" s="762"/>
      <c r="B396" s="760"/>
      <c r="C396" s="762"/>
      <c r="D396" s="51">
        <v>2016</v>
      </c>
      <c r="E396" s="8">
        <f t="shared" si="29"/>
        <v>0</v>
      </c>
      <c r="F396" s="9">
        <v>0</v>
      </c>
      <c r="G396" s="9">
        <v>0</v>
      </c>
      <c r="H396" s="9">
        <v>0</v>
      </c>
      <c r="I396" s="9">
        <v>0</v>
      </c>
      <c r="J396" s="756"/>
      <c r="K396" s="757"/>
    </row>
    <row r="397" spans="1:11" s="2" customFormat="1">
      <c r="A397" s="762"/>
      <c r="B397" s="760"/>
      <c r="C397" s="762"/>
      <c r="D397" s="51">
        <v>2017</v>
      </c>
      <c r="E397" s="8">
        <f t="shared" si="29"/>
        <v>0</v>
      </c>
      <c r="F397" s="9">
        <v>0</v>
      </c>
      <c r="G397" s="9">
        <v>0</v>
      </c>
      <c r="H397" s="9">
        <v>0</v>
      </c>
      <c r="I397" s="9">
        <v>0</v>
      </c>
      <c r="J397" s="756"/>
      <c r="K397" s="757"/>
    </row>
    <row r="398" spans="1:11" s="2" customFormat="1">
      <c r="A398" s="762"/>
      <c r="B398" s="760"/>
      <c r="C398" s="762"/>
      <c r="D398" s="55">
        <v>2018</v>
      </c>
      <c r="E398" s="8">
        <f t="shared" si="29"/>
        <v>11650.4</v>
      </c>
      <c r="F398" s="9">
        <v>11067.9</v>
      </c>
      <c r="G398" s="9">
        <v>0</v>
      </c>
      <c r="H398" s="9">
        <v>582.5</v>
      </c>
      <c r="I398" s="9">
        <v>0</v>
      </c>
      <c r="J398" s="756"/>
      <c r="K398" s="757"/>
    </row>
    <row r="399" spans="1:11" s="2" customFormat="1">
      <c r="A399" s="762"/>
      <c r="B399" s="760"/>
      <c r="C399" s="762"/>
      <c r="D399" s="55">
        <v>2019</v>
      </c>
      <c r="E399" s="8">
        <f t="shared" si="29"/>
        <v>0</v>
      </c>
      <c r="F399" s="9">
        <v>0</v>
      </c>
      <c r="G399" s="9">
        <v>0</v>
      </c>
      <c r="H399" s="9">
        <v>0</v>
      </c>
      <c r="I399" s="9">
        <v>0</v>
      </c>
      <c r="J399" s="756"/>
      <c r="K399" s="757"/>
    </row>
    <row r="400" spans="1:11" s="2" customFormat="1">
      <c r="A400" s="762"/>
      <c r="B400" s="760"/>
      <c r="C400" s="762"/>
      <c r="D400" s="55">
        <v>2020</v>
      </c>
      <c r="E400" s="8">
        <f t="shared" si="29"/>
        <v>0</v>
      </c>
      <c r="F400" s="9">
        <v>0</v>
      </c>
      <c r="G400" s="9">
        <v>0</v>
      </c>
      <c r="H400" s="9">
        <v>0</v>
      </c>
      <c r="I400" s="9">
        <v>0</v>
      </c>
      <c r="J400" s="756"/>
      <c r="K400" s="757"/>
    </row>
    <row r="401" spans="1:12" s="2" customFormat="1" ht="15" customHeight="1">
      <c r="A401" s="762" t="s">
        <v>261</v>
      </c>
      <c r="B401" s="760" t="s">
        <v>262</v>
      </c>
      <c r="C401" s="762">
        <v>2018</v>
      </c>
      <c r="D401" s="51" t="s">
        <v>8</v>
      </c>
      <c r="E401" s="8">
        <f t="shared" si="29"/>
        <v>8945.5</v>
      </c>
      <c r="F401" s="8">
        <f>SUM(F402:F406)</f>
        <v>8498.2000000000007</v>
      </c>
      <c r="G401" s="8">
        <f>SUM(G402:G406)</f>
        <v>0</v>
      </c>
      <c r="H401" s="8">
        <f>SUM(H402:H406)</f>
        <v>447.3</v>
      </c>
      <c r="I401" s="8">
        <f>SUM(I402:I406)</f>
        <v>0</v>
      </c>
      <c r="J401" s="756" t="s">
        <v>263</v>
      </c>
      <c r="K401" s="757" t="s">
        <v>169</v>
      </c>
    </row>
    <row r="402" spans="1:12" s="2" customFormat="1">
      <c r="A402" s="762"/>
      <c r="B402" s="760"/>
      <c r="C402" s="762"/>
      <c r="D402" s="51">
        <v>2016</v>
      </c>
      <c r="E402" s="8">
        <f t="shared" si="29"/>
        <v>0</v>
      </c>
      <c r="F402" s="9">
        <v>0</v>
      </c>
      <c r="G402" s="9">
        <v>0</v>
      </c>
      <c r="H402" s="9">
        <v>0</v>
      </c>
      <c r="I402" s="9">
        <v>0</v>
      </c>
      <c r="J402" s="756"/>
      <c r="K402" s="757"/>
    </row>
    <row r="403" spans="1:12" s="2" customFormat="1">
      <c r="A403" s="762"/>
      <c r="B403" s="760"/>
      <c r="C403" s="762"/>
      <c r="D403" s="51">
        <v>2017</v>
      </c>
      <c r="E403" s="8">
        <f t="shared" si="29"/>
        <v>0</v>
      </c>
      <c r="F403" s="9">
        <v>0</v>
      </c>
      <c r="G403" s="9">
        <v>0</v>
      </c>
      <c r="H403" s="9">
        <v>0</v>
      </c>
      <c r="I403" s="9">
        <v>0</v>
      </c>
      <c r="J403" s="756"/>
      <c r="K403" s="757"/>
    </row>
    <row r="404" spans="1:12" s="2" customFormat="1">
      <c r="A404" s="762"/>
      <c r="B404" s="760"/>
      <c r="C404" s="762"/>
      <c r="D404" s="55">
        <v>2018</v>
      </c>
      <c r="E404" s="8">
        <f t="shared" si="29"/>
        <v>8945.5</v>
      </c>
      <c r="F404" s="9">
        <v>8498.2000000000007</v>
      </c>
      <c r="G404" s="9">
        <v>0</v>
      </c>
      <c r="H404" s="9">
        <v>447.3</v>
      </c>
      <c r="I404" s="9">
        <v>0</v>
      </c>
      <c r="J404" s="756"/>
      <c r="K404" s="757"/>
    </row>
    <row r="405" spans="1:12" s="2" customFormat="1">
      <c r="A405" s="762"/>
      <c r="B405" s="760"/>
      <c r="C405" s="762"/>
      <c r="D405" s="55">
        <v>2019</v>
      </c>
      <c r="E405" s="8">
        <f t="shared" si="29"/>
        <v>0</v>
      </c>
      <c r="F405" s="9">
        <v>0</v>
      </c>
      <c r="G405" s="9">
        <v>0</v>
      </c>
      <c r="H405" s="9">
        <v>0</v>
      </c>
      <c r="I405" s="9">
        <v>0</v>
      </c>
      <c r="J405" s="756"/>
      <c r="K405" s="757"/>
    </row>
    <row r="406" spans="1:12" s="2" customFormat="1">
      <c r="A406" s="762"/>
      <c r="B406" s="760"/>
      <c r="C406" s="762"/>
      <c r="D406" s="55">
        <v>2020</v>
      </c>
      <c r="E406" s="8">
        <f t="shared" si="29"/>
        <v>0</v>
      </c>
      <c r="F406" s="9">
        <v>0</v>
      </c>
      <c r="G406" s="9">
        <v>0</v>
      </c>
      <c r="H406" s="9">
        <v>0</v>
      </c>
      <c r="I406" s="9">
        <v>0</v>
      </c>
      <c r="J406" s="756"/>
      <c r="K406" s="757"/>
    </row>
    <row r="407" spans="1:12" s="2" customFormat="1" ht="15" customHeight="1">
      <c r="A407" s="762" t="s">
        <v>264</v>
      </c>
      <c r="B407" s="760" t="s">
        <v>265</v>
      </c>
      <c r="C407" s="762">
        <v>2019</v>
      </c>
      <c r="D407" s="51" t="s">
        <v>8</v>
      </c>
      <c r="E407" s="8">
        <f t="shared" si="29"/>
        <v>10438.4</v>
      </c>
      <c r="F407" s="8">
        <f>SUM(F408:F412)</f>
        <v>8747.4</v>
      </c>
      <c r="G407" s="8">
        <f>SUM(G408:G412)</f>
        <v>0</v>
      </c>
      <c r="H407" s="8">
        <f>SUM(H408:H412)</f>
        <v>1691</v>
      </c>
      <c r="I407" s="8">
        <f>SUM(I408:I412)</f>
        <v>0</v>
      </c>
      <c r="J407" s="756" t="s">
        <v>266</v>
      </c>
      <c r="K407" s="757" t="s">
        <v>169</v>
      </c>
    </row>
    <row r="408" spans="1:12" s="2" customFormat="1">
      <c r="A408" s="762"/>
      <c r="B408" s="760"/>
      <c r="C408" s="762"/>
      <c r="D408" s="51">
        <v>2016</v>
      </c>
      <c r="E408" s="8">
        <f t="shared" si="29"/>
        <v>0</v>
      </c>
      <c r="F408" s="9">
        <v>0</v>
      </c>
      <c r="G408" s="9">
        <v>0</v>
      </c>
      <c r="H408" s="9">
        <v>0</v>
      </c>
      <c r="I408" s="9">
        <v>0</v>
      </c>
      <c r="J408" s="756"/>
      <c r="K408" s="757"/>
    </row>
    <row r="409" spans="1:12" s="2" customFormat="1">
      <c r="A409" s="762"/>
      <c r="B409" s="760"/>
      <c r="C409" s="762"/>
      <c r="D409" s="51">
        <v>2017</v>
      </c>
      <c r="E409" s="8">
        <f t="shared" si="29"/>
        <v>0</v>
      </c>
      <c r="F409" s="9">
        <v>0</v>
      </c>
      <c r="G409" s="9">
        <v>0</v>
      </c>
      <c r="H409" s="9">
        <v>0</v>
      </c>
      <c r="I409" s="9">
        <v>0</v>
      </c>
      <c r="J409" s="756"/>
      <c r="K409" s="757"/>
    </row>
    <row r="410" spans="1:12" s="2" customFormat="1">
      <c r="A410" s="762"/>
      <c r="B410" s="760"/>
      <c r="C410" s="762"/>
      <c r="D410" s="55">
        <v>2018</v>
      </c>
      <c r="E410" s="8">
        <f t="shared" si="29"/>
        <v>0</v>
      </c>
      <c r="F410" s="9">
        <v>0</v>
      </c>
      <c r="G410" s="9">
        <v>0</v>
      </c>
      <c r="H410" s="9">
        <v>0</v>
      </c>
      <c r="I410" s="9">
        <v>0</v>
      </c>
      <c r="J410" s="756"/>
      <c r="K410" s="757"/>
    </row>
    <row r="411" spans="1:12" s="2" customFormat="1">
      <c r="A411" s="762"/>
      <c r="B411" s="760"/>
      <c r="C411" s="762"/>
      <c r="D411" s="55">
        <v>2019</v>
      </c>
      <c r="E411" s="8">
        <f t="shared" ref="E411:E412" si="30">SUM(F411:I411)</f>
        <v>10438.4</v>
      </c>
      <c r="F411" s="9">
        <v>8747.4</v>
      </c>
      <c r="G411" s="9">
        <v>0</v>
      </c>
      <c r="H411" s="9">
        <v>1691</v>
      </c>
      <c r="I411" s="9">
        <v>0</v>
      </c>
      <c r="J411" s="756"/>
      <c r="K411" s="757"/>
    </row>
    <row r="412" spans="1:12" s="2" customFormat="1">
      <c r="A412" s="762"/>
      <c r="B412" s="760"/>
      <c r="C412" s="762"/>
      <c r="D412" s="55">
        <v>2020</v>
      </c>
      <c r="E412" s="8">
        <f t="shared" si="30"/>
        <v>0</v>
      </c>
      <c r="F412" s="9">
        <v>0</v>
      </c>
      <c r="G412" s="9">
        <v>0</v>
      </c>
      <c r="H412" s="9">
        <v>0</v>
      </c>
      <c r="I412" s="9">
        <v>0</v>
      </c>
      <c r="J412" s="756"/>
      <c r="K412" s="757"/>
    </row>
    <row r="413" spans="1:12" ht="15" customHeight="1">
      <c r="A413" s="753" t="s">
        <v>296</v>
      </c>
      <c r="B413" s="754" t="s">
        <v>297</v>
      </c>
      <c r="C413" s="755" t="s">
        <v>187</v>
      </c>
      <c r="D413" s="57" t="s">
        <v>8</v>
      </c>
      <c r="E413" s="8">
        <f t="shared" ref="E413:I418" si="31">E419</f>
        <v>283000</v>
      </c>
      <c r="F413" s="8">
        <f t="shared" si="31"/>
        <v>122350</v>
      </c>
      <c r="G413" s="8">
        <f t="shared" si="31"/>
        <v>0</v>
      </c>
      <c r="H413" s="8">
        <f t="shared" si="31"/>
        <v>132350</v>
      </c>
      <c r="I413" s="8">
        <f t="shared" si="31"/>
        <v>28300</v>
      </c>
      <c r="J413" s="756" t="s">
        <v>81</v>
      </c>
      <c r="K413" s="757" t="s">
        <v>298</v>
      </c>
      <c r="L413" s="761"/>
    </row>
    <row r="414" spans="1:12">
      <c r="A414" s="753"/>
      <c r="B414" s="754"/>
      <c r="C414" s="755"/>
      <c r="D414" s="57">
        <v>2016</v>
      </c>
      <c r="E414" s="8">
        <f t="shared" si="31"/>
        <v>0</v>
      </c>
      <c r="F414" s="8">
        <f t="shared" si="31"/>
        <v>0</v>
      </c>
      <c r="G414" s="8">
        <f t="shared" si="31"/>
        <v>0</v>
      </c>
      <c r="H414" s="8">
        <f t="shared" si="31"/>
        <v>0</v>
      </c>
      <c r="I414" s="8">
        <f t="shared" si="31"/>
        <v>0</v>
      </c>
      <c r="J414" s="756"/>
      <c r="K414" s="757"/>
      <c r="L414" s="761"/>
    </row>
    <row r="415" spans="1:12">
      <c r="A415" s="753"/>
      <c r="B415" s="754"/>
      <c r="C415" s="755"/>
      <c r="D415" s="57">
        <v>2017</v>
      </c>
      <c r="E415" s="8">
        <f t="shared" si="31"/>
        <v>0</v>
      </c>
      <c r="F415" s="8">
        <f t="shared" si="31"/>
        <v>0</v>
      </c>
      <c r="G415" s="8">
        <f t="shared" si="31"/>
        <v>0</v>
      </c>
      <c r="H415" s="8">
        <f t="shared" si="31"/>
        <v>0</v>
      </c>
      <c r="I415" s="8">
        <f t="shared" si="31"/>
        <v>0</v>
      </c>
      <c r="J415" s="756"/>
      <c r="K415" s="757"/>
      <c r="L415" s="761"/>
    </row>
    <row r="416" spans="1:12">
      <c r="A416" s="753"/>
      <c r="B416" s="754"/>
      <c r="C416" s="755"/>
      <c r="D416" s="57">
        <v>2018</v>
      </c>
      <c r="E416" s="8">
        <f t="shared" si="31"/>
        <v>10000</v>
      </c>
      <c r="F416" s="8">
        <f t="shared" si="31"/>
        <v>0</v>
      </c>
      <c r="G416" s="8">
        <f t="shared" si="31"/>
        <v>0</v>
      </c>
      <c r="H416" s="8">
        <f t="shared" si="31"/>
        <v>10000</v>
      </c>
      <c r="I416" s="8">
        <f t="shared" si="31"/>
        <v>0</v>
      </c>
      <c r="J416" s="756"/>
      <c r="K416" s="757"/>
      <c r="L416" s="761"/>
    </row>
    <row r="417" spans="1:12">
      <c r="A417" s="753"/>
      <c r="B417" s="754"/>
      <c r="C417" s="755"/>
      <c r="D417" s="57">
        <v>2019</v>
      </c>
      <c r="E417" s="8">
        <f t="shared" si="31"/>
        <v>148300</v>
      </c>
      <c r="F417" s="8">
        <f>F423</f>
        <v>60000</v>
      </c>
      <c r="G417" s="8">
        <f t="shared" si="31"/>
        <v>0</v>
      </c>
      <c r="H417" s="8">
        <f t="shared" si="31"/>
        <v>60000</v>
      </c>
      <c r="I417" s="8">
        <f t="shared" si="31"/>
        <v>28300</v>
      </c>
      <c r="J417" s="756"/>
      <c r="K417" s="757"/>
      <c r="L417" s="761"/>
    </row>
    <row r="418" spans="1:12">
      <c r="A418" s="753"/>
      <c r="B418" s="754"/>
      <c r="C418" s="755"/>
      <c r="D418" s="57">
        <v>2020</v>
      </c>
      <c r="E418" s="8">
        <f t="shared" si="31"/>
        <v>124700</v>
      </c>
      <c r="F418" s="9">
        <f>F424</f>
        <v>62350</v>
      </c>
      <c r="G418" s="9">
        <f t="shared" si="31"/>
        <v>0</v>
      </c>
      <c r="H418" s="9">
        <f t="shared" si="31"/>
        <v>62350</v>
      </c>
      <c r="I418" s="8">
        <f t="shared" si="31"/>
        <v>0</v>
      </c>
      <c r="J418" s="756"/>
      <c r="K418" s="757"/>
      <c r="L418" s="53"/>
    </row>
    <row r="419" spans="1:12" ht="15" customHeight="1">
      <c r="A419" s="753" t="s">
        <v>299</v>
      </c>
      <c r="B419" s="754" t="s">
        <v>300</v>
      </c>
      <c r="C419" s="755" t="s">
        <v>187</v>
      </c>
      <c r="D419" s="57" t="s">
        <v>8</v>
      </c>
      <c r="E419" s="8">
        <f t="shared" ref="E419:E442" si="32">SUM(F419:I419)</f>
        <v>283000</v>
      </c>
      <c r="F419" s="8">
        <f>SUM(F420:F424)</f>
        <v>122350</v>
      </c>
      <c r="G419" s="8">
        <f>SUM(G420:G424)</f>
        <v>0</v>
      </c>
      <c r="H419" s="8">
        <f>SUM(H420:H424)</f>
        <v>132350</v>
      </c>
      <c r="I419" s="8">
        <f>SUM(I420:I424)</f>
        <v>28300</v>
      </c>
      <c r="J419" s="756" t="s">
        <v>301</v>
      </c>
      <c r="K419" s="757" t="s">
        <v>298</v>
      </c>
      <c r="L419" s="761"/>
    </row>
    <row r="420" spans="1:12">
      <c r="A420" s="753"/>
      <c r="B420" s="754"/>
      <c r="C420" s="755"/>
      <c r="D420" s="57">
        <v>2016</v>
      </c>
      <c r="E420" s="8">
        <f t="shared" si="32"/>
        <v>0</v>
      </c>
      <c r="F420" s="9">
        <v>0</v>
      </c>
      <c r="G420" s="9">
        <v>0</v>
      </c>
      <c r="H420" s="9">
        <v>0</v>
      </c>
      <c r="I420" s="9">
        <v>0</v>
      </c>
      <c r="J420" s="756"/>
      <c r="K420" s="757"/>
      <c r="L420" s="761"/>
    </row>
    <row r="421" spans="1:12">
      <c r="A421" s="753"/>
      <c r="B421" s="754"/>
      <c r="C421" s="755"/>
      <c r="D421" s="57">
        <v>2017</v>
      </c>
      <c r="E421" s="8">
        <f t="shared" si="32"/>
        <v>0</v>
      </c>
      <c r="F421" s="9">
        <v>0</v>
      </c>
      <c r="G421" s="9">
        <v>0</v>
      </c>
      <c r="H421" s="9">
        <v>0</v>
      </c>
      <c r="I421" s="9">
        <v>0</v>
      </c>
      <c r="J421" s="756"/>
      <c r="K421" s="757"/>
      <c r="L421" s="761"/>
    </row>
    <row r="422" spans="1:12">
      <c r="A422" s="753"/>
      <c r="B422" s="754"/>
      <c r="C422" s="755"/>
      <c r="D422" s="57">
        <v>2018</v>
      </c>
      <c r="E422" s="8">
        <f t="shared" si="32"/>
        <v>10000</v>
      </c>
      <c r="F422" s="9">
        <v>0</v>
      </c>
      <c r="G422" s="9">
        <v>0</v>
      </c>
      <c r="H422" s="9">
        <v>10000</v>
      </c>
      <c r="I422" s="9">
        <v>0</v>
      </c>
      <c r="J422" s="756"/>
      <c r="K422" s="757"/>
      <c r="L422" s="761"/>
    </row>
    <row r="423" spans="1:12">
      <c r="A423" s="753"/>
      <c r="B423" s="754"/>
      <c r="C423" s="755"/>
      <c r="D423" s="57" t="s">
        <v>302</v>
      </c>
      <c r="E423" s="8">
        <f t="shared" si="32"/>
        <v>148300</v>
      </c>
      <c r="F423" s="9">
        <v>60000</v>
      </c>
      <c r="G423" s="9">
        <v>0</v>
      </c>
      <c r="H423" s="9">
        <v>60000</v>
      </c>
      <c r="I423" s="61">
        <v>28300</v>
      </c>
      <c r="J423" s="756"/>
      <c r="K423" s="757"/>
      <c r="L423" s="761"/>
    </row>
    <row r="424" spans="1:12">
      <c r="A424" s="753"/>
      <c r="B424" s="754"/>
      <c r="C424" s="755"/>
      <c r="D424" s="57" t="s">
        <v>303</v>
      </c>
      <c r="E424" s="8">
        <f t="shared" si="32"/>
        <v>124700</v>
      </c>
      <c r="F424" s="62">
        <v>62350</v>
      </c>
      <c r="G424" s="9">
        <v>0</v>
      </c>
      <c r="H424" s="62">
        <v>62350</v>
      </c>
      <c r="I424" s="9">
        <v>0</v>
      </c>
      <c r="J424" s="756"/>
      <c r="K424" s="757"/>
      <c r="L424" s="53"/>
    </row>
    <row r="425" spans="1:12" ht="15" customHeight="1">
      <c r="A425" s="753" t="s">
        <v>129</v>
      </c>
      <c r="B425" s="757" t="s">
        <v>130</v>
      </c>
      <c r="C425" s="755" t="s">
        <v>14</v>
      </c>
      <c r="D425" s="57" t="s">
        <v>8</v>
      </c>
      <c r="E425" s="8">
        <f t="shared" si="32"/>
        <v>136043.4</v>
      </c>
      <c r="F425" s="8">
        <f>SUM(F426:F430)</f>
        <v>136043.4</v>
      </c>
      <c r="G425" s="9">
        <v>0</v>
      </c>
      <c r="H425" s="9">
        <v>0</v>
      </c>
      <c r="I425" s="9">
        <v>0</v>
      </c>
      <c r="J425" s="759"/>
      <c r="K425" s="757" t="s">
        <v>26</v>
      </c>
    </row>
    <row r="426" spans="1:12">
      <c r="A426" s="753"/>
      <c r="B426" s="757"/>
      <c r="C426" s="755"/>
      <c r="D426" s="57">
        <v>2016</v>
      </c>
      <c r="E426" s="8">
        <f t="shared" si="32"/>
        <v>25539.5</v>
      </c>
      <c r="F426" s="9">
        <f>SUM(F432)</f>
        <v>25539.5</v>
      </c>
      <c r="G426" s="9">
        <v>0</v>
      </c>
      <c r="H426" s="9">
        <v>0</v>
      </c>
      <c r="I426" s="9">
        <v>0</v>
      </c>
      <c r="J426" s="759"/>
      <c r="K426" s="757"/>
    </row>
    <row r="427" spans="1:12">
      <c r="A427" s="753"/>
      <c r="B427" s="757"/>
      <c r="C427" s="755"/>
      <c r="D427" s="57">
        <v>2017</v>
      </c>
      <c r="E427" s="8">
        <f t="shared" si="32"/>
        <v>25743.200000000001</v>
      </c>
      <c r="F427" s="9">
        <f>SUM(F433)</f>
        <v>25743.200000000001</v>
      </c>
      <c r="G427" s="9">
        <v>0</v>
      </c>
      <c r="H427" s="9">
        <v>0</v>
      </c>
      <c r="I427" s="9">
        <v>0</v>
      </c>
      <c r="J427" s="759"/>
      <c r="K427" s="757"/>
    </row>
    <row r="428" spans="1:12">
      <c r="A428" s="753"/>
      <c r="B428" s="757"/>
      <c r="C428" s="755"/>
      <c r="D428" s="57">
        <v>2018</v>
      </c>
      <c r="E428" s="8">
        <f t="shared" si="32"/>
        <v>28265.200000000001</v>
      </c>
      <c r="F428" s="9">
        <f>SUM(F434)</f>
        <v>28265.200000000001</v>
      </c>
      <c r="G428" s="9">
        <v>0</v>
      </c>
      <c r="H428" s="9">
        <v>0</v>
      </c>
      <c r="I428" s="9">
        <v>0</v>
      </c>
      <c r="J428" s="759"/>
      <c r="K428" s="757"/>
    </row>
    <row r="429" spans="1:12">
      <c r="A429" s="753"/>
      <c r="B429" s="757"/>
      <c r="C429" s="755"/>
      <c r="D429" s="57">
        <v>2019</v>
      </c>
      <c r="E429" s="8">
        <f t="shared" si="32"/>
        <v>27726</v>
      </c>
      <c r="F429" s="9">
        <f>SUM(F435)</f>
        <v>27726</v>
      </c>
      <c r="G429" s="9">
        <v>0</v>
      </c>
      <c r="H429" s="9">
        <v>0</v>
      </c>
      <c r="I429" s="9">
        <v>0</v>
      </c>
      <c r="J429" s="759"/>
      <c r="K429" s="757"/>
    </row>
    <row r="430" spans="1:12">
      <c r="A430" s="753"/>
      <c r="B430" s="757"/>
      <c r="C430" s="755"/>
      <c r="D430" s="57">
        <v>2020</v>
      </c>
      <c r="E430" s="8">
        <f t="shared" si="32"/>
        <v>28769.5</v>
      </c>
      <c r="F430" s="9">
        <f>SUM(F436)</f>
        <v>28769.5</v>
      </c>
      <c r="G430" s="9">
        <v>0</v>
      </c>
      <c r="H430" s="9">
        <v>0</v>
      </c>
      <c r="I430" s="9">
        <v>0</v>
      </c>
      <c r="J430" s="759"/>
      <c r="K430" s="757"/>
    </row>
    <row r="431" spans="1:12" ht="17.100000000000001" customHeight="1">
      <c r="A431" s="753" t="s">
        <v>131</v>
      </c>
      <c r="B431" s="760" t="s">
        <v>132</v>
      </c>
      <c r="C431" s="755" t="s">
        <v>14</v>
      </c>
      <c r="D431" s="57" t="s">
        <v>8</v>
      </c>
      <c r="E431" s="8">
        <f t="shared" si="32"/>
        <v>136043.4</v>
      </c>
      <c r="F431" s="8">
        <f>SUM(F432:F436)</f>
        <v>136043.4</v>
      </c>
      <c r="G431" s="8">
        <f>SUM(G432:G436)</f>
        <v>0</v>
      </c>
      <c r="H431" s="8">
        <f>SUM(H432:H436)</f>
        <v>0</v>
      </c>
      <c r="I431" s="8">
        <f>SUM(I432:I436)</f>
        <v>0</v>
      </c>
      <c r="J431" s="756" t="s">
        <v>133</v>
      </c>
      <c r="K431" s="757" t="s">
        <v>26</v>
      </c>
    </row>
    <row r="432" spans="1:12" ht="17.100000000000001" customHeight="1">
      <c r="A432" s="753"/>
      <c r="B432" s="760"/>
      <c r="C432" s="755"/>
      <c r="D432" s="57">
        <v>2016</v>
      </c>
      <c r="E432" s="8">
        <f t="shared" si="32"/>
        <v>25539.5</v>
      </c>
      <c r="F432" s="9">
        <f t="shared" ref="F432:I436" si="33">SUM(F438)</f>
        <v>25539.5</v>
      </c>
      <c r="G432" s="9">
        <f t="shared" si="33"/>
        <v>0</v>
      </c>
      <c r="H432" s="9">
        <f t="shared" si="33"/>
        <v>0</v>
      </c>
      <c r="I432" s="9">
        <f t="shared" si="33"/>
        <v>0</v>
      </c>
      <c r="J432" s="756"/>
      <c r="K432" s="757"/>
    </row>
    <row r="433" spans="1:11" ht="17.100000000000001" customHeight="1">
      <c r="A433" s="753"/>
      <c r="B433" s="760"/>
      <c r="C433" s="755"/>
      <c r="D433" s="57">
        <v>2017</v>
      </c>
      <c r="E433" s="8">
        <f t="shared" si="32"/>
        <v>25743.200000000001</v>
      </c>
      <c r="F433" s="9">
        <f t="shared" si="33"/>
        <v>25743.200000000001</v>
      </c>
      <c r="G433" s="9">
        <f t="shared" si="33"/>
        <v>0</v>
      </c>
      <c r="H433" s="9">
        <f t="shared" si="33"/>
        <v>0</v>
      </c>
      <c r="I433" s="9">
        <f t="shared" si="33"/>
        <v>0</v>
      </c>
      <c r="J433" s="756"/>
      <c r="K433" s="757"/>
    </row>
    <row r="434" spans="1:11" ht="17.100000000000001" customHeight="1">
      <c r="A434" s="753"/>
      <c r="B434" s="760"/>
      <c r="C434" s="755"/>
      <c r="D434" s="57">
        <v>2018</v>
      </c>
      <c r="E434" s="8">
        <f t="shared" si="32"/>
        <v>28265.200000000001</v>
      </c>
      <c r="F434" s="9">
        <f t="shared" si="33"/>
        <v>28265.200000000001</v>
      </c>
      <c r="G434" s="9">
        <f t="shared" si="33"/>
        <v>0</v>
      </c>
      <c r="H434" s="9">
        <f t="shared" si="33"/>
        <v>0</v>
      </c>
      <c r="I434" s="9">
        <f t="shared" si="33"/>
        <v>0</v>
      </c>
      <c r="J434" s="756"/>
      <c r="K434" s="757"/>
    </row>
    <row r="435" spans="1:11" ht="17.100000000000001" customHeight="1">
      <c r="A435" s="753"/>
      <c r="B435" s="760"/>
      <c r="C435" s="755"/>
      <c r="D435" s="57">
        <v>2019</v>
      </c>
      <c r="E435" s="8">
        <f t="shared" si="32"/>
        <v>27726</v>
      </c>
      <c r="F435" s="9">
        <f t="shared" si="33"/>
        <v>27726</v>
      </c>
      <c r="G435" s="9">
        <f t="shared" si="33"/>
        <v>0</v>
      </c>
      <c r="H435" s="9">
        <f t="shared" si="33"/>
        <v>0</v>
      </c>
      <c r="I435" s="9">
        <f t="shared" si="33"/>
        <v>0</v>
      </c>
      <c r="J435" s="756"/>
      <c r="K435" s="757"/>
    </row>
    <row r="436" spans="1:11" ht="17.100000000000001" customHeight="1">
      <c r="A436" s="753"/>
      <c r="B436" s="760"/>
      <c r="C436" s="755"/>
      <c r="D436" s="57">
        <v>2020</v>
      </c>
      <c r="E436" s="8">
        <f t="shared" si="32"/>
        <v>28769.5</v>
      </c>
      <c r="F436" s="9">
        <f t="shared" si="33"/>
        <v>28769.5</v>
      </c>
      <c r="G436" s="9">
        <f t="shared" si="33"/>
        <v>0</v>
      </c>
      <c r="H436" s="9">
        <f t="shared" si="33"/>
        <v>0</v>
      </c>
      <c r="I436" s="9">
        <f t="shared" si="33"/>
        <v>0</v>
      </c>
      <c r="J436" s="756"/>
      <c r="K436" s="757"/>
    </row>
    <row r="437" spans="1:11" s="2" customFormat="1" ht="17.100000000000001" customHeight="1">
      <c r="A437" s="753" t="s">
        <v>134</v>
      </c>
      <c r="B437" s="754" t="s">
        <v>135</v>
      </c>
      <c r="C437" s="755" t="s">
        <v>14</v>
      </c>
      <c r="D437" s="57" t="s">
        <v>8</v>
      </c>
      <c r="E437" s="8">
        <f t="shared" si="32"/>
        <v>136043.4</v>
      </c>
      <c r="F437" s="8">
        <f>SUM(F438:F442)</f>
        <v>136043.4</v>
      </c>
      <c r="G437" s="9">
        <v>0</v>
      </c>
      <c r="H437" s="9">
        <v>0</v>
      </c>
      <c r="I437" s="9">
        <v>0</v>
      </c>
      <c r="J437" s="756" t="s">
        <v>136</v>
      </c>
      <c r="K437" s="757" t="s">
        <v>26</v>
      </c>
    </row>
    <row r="438" spans="1:11" s="2" customFormat="1" ht="17.100000000000001" customHeight="1">
      <c r="A438" s="753"/>
      <c r="B438" s="754"/>
      <c r="C438" s="755"/>
      <c r="D438" s="57">
        <v>2016</v>
      </c>
      <c r="E438" s="8">
        <f t="shared" si="32"/>
        <v>25539.5</v>
      </c>
      <c r="F438" s="9">
        <v>25539.5</v>
      </c>
      <c r="G438" s="9">
        <v>0</v>
      </c>
      <c r="H438" s="9">
        <v>0</v>
      </c>
      <c r="I438" s="9">
        <v>0</v>
      </c>
      <c r="J438" s="756"/>
      <c r="K438" s="757"/>
    </row>
    <row r="439" spans="1:11" s="2" customFormat="1" ht="17.100000000000001" customHeight="1">
      <c r="A439" s="753"/>
      <c r="B439" s="754"/>
      <c r="C439" s="755"/>
      <c r="D439" s="57">
        <v>2017</v>
      </c>
      <c r="E439" s="8">
        <f t="shared" si="32"/>
        <v>25743.200000000001</v>
      </c>
      <c r="F439" s="9">
        <v>25743.200000000001</v>
      </c>
      <c r="G439" s="9">
        <v>0</v>
      </c>
      <c r="H439" s="9">
        <v>0</v>
      </c>
      <c r="I439" s="9">
        <v>0</v>
      </c>
      <c r="J439" s="756"/>
      <c r="K439" s="757"/>
    </row>
    <row r="440" spans="1:11" s="2" customFormat="1" ht="17.100000000000001" customHeight="1">
      <c r="A440" s="753"/>
      <c r="B440" s="754"/>
      <c r="C440" s="755"/>
      <c r="D440" s="58">
        <v>2018</v>
      </c>
      <c r="E440" s="59">
        <f t="shared" si="32"/>
        <v>28265.200000000001</v>
      </c>
      <c r="F440" s="60">
        <v>28265.200000000001</v>
      </c>
      <c r="G440" s="9">
        <v>0</v>
      </c>
      <c r="H440" s="9">
        <v>0</v>
      </c>
      <c r="I440" s="9">
        <v>0</v>
      </c>
      <c r="J440" s="756"/>
      <c r="K440" s="757"/>
    </row>
    <row r="441" spans="1:11" s="2" customFormat="1" ht="17.100000000000001" customHeight="1">
      <c r="A441" s="753"/>
      <c r="B441" s="754"/>
      <c r="C441" s="755"/>
      <c r="D441" s="57">
        <v>2019</v>
      </c>
      <c r="E441" s="8">
        <f t="shared" si="32"/>
        <v>27726</v>
      </c>
      <c r="F441" s="9">
        <v>27726</v>
      </c>
      <c r="G441" s="9">
        <v>0</v>
      </c>
      <c r="H441" s="9">
        <v>0</v>
      </c>
      <c r="I441" s="9">
        <v>0</v>
      </c>
      <c r="J441" s="756"/>
      <c r="K441" s="757"/>
    </row>
    <row r="442" spans="1:11" s="52" customFormat="1" ht="17.100000000000001" customHeight="1">
      <c r="A442" s="753"/>
      <c r="B442" s="754"/>
      <c r="C442" s="755"/>
      <c r="D442" s="57">
        <v>2020</v>
      </c>
      <c r="E442" s="8">
        <f t="shared" si="32"/>
        <v>28769.5</v>
      </c>
      <c r="F442" s="9">
        <v>28769.5</v>
      </c>
      <c r="G442" s="9">
        <v>0</v>
      </c>
      <c r="H442" s="9">
        <v>0</v>
      </c>
      <c r="I442" s="9">
        <v>0</v>
      </c>
      <c r="J442" s="756"/>
      <c r="K442" s="757"/>
    </row>
    <row r="443" spans="1:11" ht="17.100000000000001" customHeight="1">
      <c r="A443" s="758" t="s">
        <v>267</v>
      </c>
      <c r="B443" s="758"/>
      <c r="C443" s="758"/>
      <c r="D443" s="758"/>
      <c r="E443" s="758"/>
      <c r="F443" s="758"/>
      <c r="G443" s="758"/>
      <c r="H443" s="758"/>
      <c r="I443" s="758"/>
      <c r="J443" s="21"/>
      <c r="K443" s="22"/>
    </row>
    <row r="444" spans="1:11" ht="17.100000000000001" customHeight="1">
      <c r="A444" s="752" t="s">
        <v>304</v>
      </c>
      <c r="B444" s="752"/>
      <c r="C444" s="752"/>
      <c r="D444" s="752"/>
      <c r="E444" s="19"/>
      <c r="F444" s="20"/>
      <c r="G444" s="20"/>
      <c r="H444" s="20"/>
      <c r="I444" s="20"/>
      <c r="J444" s="21"/>
      <c r="K444" s="22"/>
    </row>
    <row r="445" spans="1:11" ht="17.100000000000001" customHeight="1">
      <c r="A445" s="16"/>
      <c r="B445" s="17"/>
      <c r="C445" s="18"/>
      <c r="D445" s="38"/>
      <c r="E445" s="23"/>
      <c r="F445" s="24"/>
      <c r="G445" s="24"/>
      <c r="H445" s="24"/>
      <c r="I445" s="20"/>
      <c r="J445" s="21"/>
      <c r="K445" s="22"/>
    </row>
    <row r="446" spans="1:11" ht="17.100000000000001" customHeight="1">
      <c r="A446" s="16"/>
      <c r="B446" s="17"/>
      <c r="C446" s="18"/>
      <c r="D446" s="38"/>
      <c r="E446" s="19"/>
      <c r="F446" s="20"/>
      <c r="G446" s="20"/>
      <c r="H446" s="20"/>
      <c r="I446" s="20"/>
      <c r="J446" s="21"/>
      <c r="K446" s="22"/>
    </row>
    <row r="447" spans="1:11">
      <c r="A447" s="25"/>
      <c r="B447" s="26"/>
      <c r="C447" s="10"/>
      <c r="D447" s="39"/>
      <c r="E447" s="27"/>
      <c r="F447" s="28"/>
      <c r="G447" s="27"/>
      <c r="H447" s="27"/>
      <c r="I447" s="27"/>
      <c r="J447" s="29"/>
      <c r="K447" s="30"/>
    </row>
    <row r="448" spans="1:11">
      <c r="A448" s="31"/>
      <c r="B448" s="32"/>
      <c r="C448" s="31"/>
      <c r="D448" s="40"/>
      <c r="E448" s="33"/>
      <c r="F448" s="34"/>
      <c r="G448" s="33"/>
      <c r="H448" s="33"/>
      <c r="I448" s="33"/>
      <c r="J448" s="35"/>
      <c r="K448" s="32"/>
    </row>
  </sheetData>
  <mergeCells count="377">
    <mergeCell ref="A1:K2"/>
    <mergeCell ref="A3:A4"/>
    <mergeCell ref="B3:B4"/>
    <mergeCell ref="C3:C4"/>
    <mergeCell ref="D3:I3"/>
    <mergeCell ref="J3:J4"/>
    <mergeCell ref="K3:K4"/>
    <mergeCell ref="A5:A10"/>
    <mergeCell ref="B5:B10"/>
    <mergeCell ref="C5:C10"/>
    <mergeCell ref="J5:J10"/>
    <mergeCell ref="K5:K10"/>
    <mergeCell ref="A11:A16"/>
    <mergeCell ref="B11:B16"/>
    <mergeCell ref="C11:C16"/>
    <mergeCell ref="J11:J16"/>
    <mergeCell ref="K11:K16"/>
    <mergeCell ref="A17:A22"/>
    <mergeCell ref="B17:B22"/>
    <mergeCell ref="C17:C22"/>
    <mergeCell ref="J17:J22"/>
    <mergeCell ref="K17:K22"/>
    <mergeCell ref="A23:A28"/>
    <mergeCell ref="B23:B28"/>
    <mergeCell ref="C23:C28"/>
    <mergeCell ref="J23:J28"/>
    <mergeCell ref="K23:K28"/>
    <mergeCell ref="A29:A34"/>
    <mergeCell ref="B29:B34"/>
    <mergeCell ref="C29:C34"/>
    <mergeCell ref="J29:J34"/>
    <mergeCell ref="K29:K34"/>
    <mergeCell ref="A35:A40"/>
    <mergeCell ref="B35:B40"/>
    <mergeCell ref="C35:C40"/>
    <mergeCell ref="J35:J40"/>
    <mergeCell ref="K35:K40"/>
    <mergeCell ref="A41:A46"/>
    <mergeCell ref="B41:B46"/>
    <mergeCell ref="C41:C46"/>
    <mergeCell ref="J41:J46"/>
    <mergeCell ref="K41:K46"/>
    <mergeCell ref="A47:A52"/>
    <mergeCell ref="B47:B52"/>
    <mergeCell ref="C47:C52"/>
    <mergeCell ref="J47:J52"/>
    <mergeCell ref="K47:K52"/>
    <mergeCell ref="A53:A58"/>
    <mergeCell ref="B53:B58"/>
    <mergeCell ref="C53:C58"/>
    <mergeCell ref="J53:J58"/>
    <mergeCell ref="K53:K58"/>
    <mergeCell ref="A59:A64"/>
    <mergeCell ref="B59:B64"/>
    <mergeCell ref="C59:C64"/>
    <mergeCell ref="J59:J64"/>
    <mergeCell ref="K59:K64"/>
    <mergeCell ref="A65:A70"/>
    <mergeCell ref="B65:B70"/>
    <mergeCell ref="C65:C70"/>
    <mergeCell ref="J65:J70"/>
    <mergeCell ref="K65:K70"/>
    <mergeCell ref="A71:A76"/>
    <mergeCell ref="B71:B76"/>
    <mergeCell ref="C71:C76"/>
    <mergeCell ref="J71:J76"/>
    <mergeCell ref="K71:K76"/>
    <mergeCell ref="A77:A82"/>
    <mergeCell ref="B77:B82"/>
    <mergeCell ref="C77:C82"/>
    <mergeCell ref="J77:J82"/>
    <mergeCell ref="K77:K82"/>
    <mergeCell ref="A83:A88"/>
    <mergeCell ref="B83:B88"/>
    <mergeCell ref="C83:C88"/>
    <mergeCell ref="J83:J88"/>
    <mergeCell ref="K83:K88"/>
    <mergeCell ref="A89:A94"/>
    <mergeCell ref="B89:B94"/>
    <mergeCell ref="C89:C94"/>
    <mergeCell ref="J89:J94"/>
    <mergeCell ref="K89:K94"/>
    <mergeCell ref="A95:A100"/>
    <mergeCell ref="B95:B100"/>
    <mergeCell ref="C95:C100"/>
    <mergeCell ref="J95:J100"/>
    <mergeCell ref="K95:K100"/>
    <mergeCell ref="A101:A106"/>
    <mergeCell ref="B101:B106"/>
    <mergeCell ref="C101:C106"/>
    <mergeCell ref="J101:J106"/>
    <mergeCell ref="K101:K106"/>
    <mergeCell ref="A107:A112"/>
    <mergeCell ref="B107:B112"/>
    <mergeCell ref="C107:C112"/>
    <mergeCell ref="J107:J112"/>
    <mergeCell ref="K107:K112"/>
    <mergeCell ref="A113:A118"/>
    <mergeCell ref="B113:B118"/>
    <mergeCell ref="C113:C118"/>
    <mergeCell ref="J113:J118"/>
    <mergeCell ref="K113:K118"/>
    <mergeCell ref="A119:A124"/>
    <mergeCell ref="B119:B124"/>
    <mergeCell ref="C119:C124"/>
    <mergeCell ref="J119:J124"/>
    <mergeCell ref="K119:K124"/>
    <mergeCell ref="A125:A130"/>
    <mergeCell ref="B125:B130"/>
    <mergeCell ref="C125:C130"/>
    <mergeCell ref="J125:J130"/>
    <mergeCell ref="K125:K130"/>
    <mergeCell ref="A131:A136"/>
    <mergeCell ref="B131:B136"/>
    <mergeCell ref="C131:C136"/>
    <mergeCell ref="J131:J136"/>
    <mergeCell ref="K131:K136"/>
    <mergeCell ref="A137:A142"/>
    <mergeCell ref="B137:B142"/>
    <mergeCell ref="C137:C142"/>
    <mergeCell ref="J137:J142"/>
    <mergeCell ref="K137:K142"/>
    <mergeCell ref="A143:A148"/>
    <mergeCell ref="B143:B148"/>
    <mergeCell ref="C143:C148"/>
    <mergeCell ref="J143:J148"/>
    <mergeCell ref="K143:K148"/>
    <mergeCell ref="A149:A154"/>
    <mergeCell ref="B149:B154"/>
    <mergeCell ref="C149:C154"/>
    <mergeCell ref="J149:J154"/>
    <mergeCell ref="K149:K154"/>
    <mergeCell ref="A155:A160"/>
    <mergeCell ref="B155:B160"/>
    <mergeCell ref="C155:C160"/>
    <mergeCell ref="J155:J160"/>
    <mergeCell ref="K155:K160"/>
    <mergeCell ref="A161:A166"/>
    <mergeCell ref="B161:B166"/>
    <mergeCell ref="C161:C166"/>
    <mergeCell ref="J161:J166"/>
    <mergeCell ref="K161:K166"/>
    <mergeCell ref="A167:A172"/>
    <mergeCell ref="B167:B172"/>
    <mergeCell ref="C167:C172"/>
    <mergeCell ref="J167:J172"/>
    <mergeCell ref="K167:K172"/>
    <mergeCell ref="A173:A178"/>
    <mergeCell ref="B173:B178"/>
    <mergeCell ref="C173:C178"/>
    <mergeCell ref="J173:J178"/>
    <mergeCell ref="K173:K178"/>
    <mergeCell ref="A179:A184"/>
    <mergeCell ref="B179:B184"/>
    <mergeCell ref="C179:C184"/>
    <mergeCell ref="J179:J184"/>
    <mergeCell ref="K179:K184"/>
    <mergeCell ref="A185:A190"/>
    <mergeCell ref="B185:B190"/>
    <mergeCell ref="C185:C190"/>
    <mergeCell ref="J185:J190"/>
    <mergeCell ref="K185:K190"/>
    <mergeCell ref="A191:A196"/>
    <mergeCell ref="B191:B196"/>
    <mergeCell ref="C191:C196"/>
    <mergeCell ref="J191:J196"/>
    <mergeCell ref="K191:K196"/>
    <mergeCell ref="A197:A202"/>
    <mergeCell ref="B197:B202"/>
    <mergeCell ref="C197:C202"/>
    <mergeCell ref="J197:J202"/>
    <mergeCell ref="K197:K202"/>
    <mergeCell ref="A203:A208"/>
    <mergeCell ref="B203:B208"/>
    <mergeCell ref="C203:C208"/>
    <mergeCell ref="J203:J208"/>
    <mergeCell ref="K203:K208"/>
    <mergeCell ref="A209:A214"/>
    <mergeCell ref="B209:B214"/>
    <mergeCell ref="C209:C214"/>
    <mergeCell ref="J209:J214"/>
    <mergeCell ref="K209:K214"/>
    <mergeCell ref="A215:A220"/>
    <mergeCell ref="B215:B220"/>
    <mergeCell ref="C215:C220"/>
    <mergeCell ref="J215:J220"/>
    <mergeCell ref="K215:K220"/>
    <mergeCell ref="A221:A226"/>
    <mergeCell ref="B221:B226"/>
    <mergeCell ref="C221:C226"/>
    <mergeCell ref="J221:J226"/>
    <mergeCell ref="K221:K226"/>
    <mergeCell ref="A227:A232"/>
    <mergeCell ref="B227:B232"/>
    <mergeCell ref="C227:C232"/>
    <mergeCell ref="J227:J232"/>
    <mergeCell ref="K227:K232"/>
    <mergeCell ref="A233:A238"/>
    <mergeCell ref="B233:B238"/>
    <mergeCell ref="C233:C238"/>
    <mergeCell ref="J233:J238"/>
    <mergeCell ref="K233:K238"/>
    <mergeCell ref="A239:A244"/>
    <mergeCell ref="B239:B244"/>
    <mergeCell ref="C239:C244"/>
    <mergeCell ref="J239:J244"/>
    <mergeCell ref="K239:K244"/>
    <mergeCell ref="A245:A250"/>
    <mergeCell ref="B245:B250"/>
    <mergeCell ref="C245:C250"/>
    <mergeCell ref="J245:J250"/>
    <mergeCell ref="K245:K250"/>
    <mergeCell ref="A251:A256"/>
    <mergeCell ref="B251:B256"/>
    <mergeCell ref="C251:C256"/>
    <mergeCell ref="J251:J256"/>
    <mergeCell ref="K251:K256"/>
    <mergeCell ref="A257:A262"/>
    <mergeCell ref="B257:B262"/>
    <mergeCell ref="C257:C262"/>
    <mergeCell ref="J257:J262"/>
    <mergeCell ref="K257:K262"/>
    <mergeCell ref="A263:A268"/>
    <mergeCell ref="B263:B268"/>
    <mergeCell ref="C263:C268"/>
    <mergeCell ref="J263:J268"/>
    <mergeCell ref="K263:K268"/>
    <mergeCell ref="A269:A274"/>
    <mergeCell ref="B269:B274"/>
    <mergeCell ref="C269:C274"/>
    <mergeCell ref="J269:J274"/>
    <mergeCell ref="K269:K274"/>
    <mergeCell ref="A275:A280"/>
    <mergeCell ref="B275:B280"/>
    <mergeCell ref="C275:C280"/>
    <mergeCell ref="J275:J280"/>
    <mergeCell ref="K275:K280"/>
    <mergeCell ref="A281:A286"/>
    <mergeCell ref="B281:B286"/>
    <mergeCell ref="C281:C286"/>
    <mergeCell ref="J281:J286"/>
    <mergeCell ref="K281:K286"/>
    <mergeCell ref="A287:A292"/>
    <mergeCell ref="B287:B292"/>
    <mergeCell ref="C287:C292"/>
    <mergeCell ref="J287:J292"/>
    <mergeCell ref="K287:K292"/>
    <mergeCell ref="L299:L303"/>
    <mergeCell ref="A305:A310"/>
    <mergeCell ref="B305:B310"/>
    <mergeCell ref="C305:C310"/>
    <mergeCell ref="J305:J310"/>
    <mergeCell ref="K305:K310"/>
    <mergeCell ref="A293:A298"/>
    <mergeCell ref="B293:B298"/>
    <mergeCell ref="C293:C298"/>
    <mergeCell ref="J293:J298"/>
    <mergeCell ref="K293:K298"/>
    <mergeCell ref="A299:A304"/>
    <mergeCell ref="B299:B304"/>
    <mergeCell ref="C299:C304"/>
    <mergeCell ref="J299:J304"/>
    <mergeCell ref="K299:K304"/>
    <mergeCell ref="A311:A316"/>
    <mergeCell ref="B311:B316"/>
    <mergeCell ref="C311:C316"/>
    <mergeCell ref="J311:J316"/>
    <mergeCell ref="K311:K316"/>
    <mergeCell ref="A317:A322"/>
    <mergeCell ref="B317:B322"/>
    <mergeCell ref="C317:C322"/>
    <mergeCell ref="J317:J322"/>
    <mergeCell ref="K317:K322"/>
    <mergeCell ref="A323:A328"/>
    <mergeCell ref="B323:B328"/>
    <mergeCell ref="C323:C328"/>
    <mergeCell ref="J323:J328"/>
    <mergeCell ref="K323:K328"/>
    <mergeCell ref="A329:A334"/>
    <mergeCell ref="B329:B334"/>
    <mergeCell ref="C329:C334"/>
    <mergeCell ref="J329:J334"/>
    <mergeCell ref="K329:K334"/>
    <mergeCell ref="A335:A340"/>
    <mergeCell ref="B335:B340"/>
    <mergeCell ref="C335:C340"/>
    <mergeCell ref="J335:J340"/>
    <mergeCell ref="K335:K340"/>
    <mergeCell ref="A341:A346"/>
    <mergeCell ref="B341:B346"/>
    <mergeCell ref="C341:C346"/>
    <mergeCell ref="J341:J346"/>
    <mergeCell ref="K341:K346"/>
    <mergeCell ref="A347:A352"/>
    <mergeCell ref="B347:B352"/>
    <mergeCell ref="C347:C352"/>
    <mergeCell ref="J347:J352"/>
    <mergeCell ref="K347:K352"/>
    <mergeCell ref="A353:A358"/>
    <mergeCell ref="B353:B358"/>
    <mergeCell ref="C353:C358"/>
    <mergeCell ref="J353:J358"/>
    <mergeCell ref="K353:K358"/>
    <mergeCell ref="A359:A364"/>
    <mergeCell ref="B359:B364"/>
    <mergeCell ref="C359:C364"/>
    <mergeCell ref="J359:J364"/>
    <mergeCell ref="K359:K364"/>
    <mergeCell ref="A365:A370"/>
    <mergeCell ref="B365:B370"/>
    <mergeCell ref="C365:C370"/>
    <mergeCell ref="J365:J370"/>
    <mergeCell ref="K365:K370"/>
    <mergeCell ref="A371:A376"/>
    <mergeCell ref="B371:B376"/>
    <mergeCell ref="C371:C376"/>
    <mergeCell ref="J371:J376"/>
    <mergeCell ref="K371:K376"/>
    <mergeCell ref="A377:A382"/>
    <mergeCell ref="B377:B382"/>
    <mergeCell ref="C377:C382"/>
    <mergeCell ref="J377:J382"/>
    <mergeCell ref="K377:K382"/>
    <mergeCell ref="A383:A388"/>
    <mergeCell ref="B383:B388"/>
    <mergeCell ref="C383:C388"/>
    <mergeCell ref="J383:J388"/>
    <mergeCell ref="K383:K388"/>
    <mergeCell ref="A389:A394"/>
    <mergeCell ref="B389:B394"/>
    <mergeCell ref="C389:C394"/>
    <mergeCell ref="J389:J394"/>
    <mergeCell ref="K389:K394"/>
    <mergeCell ref="A395:A400"/>
    <mergeCell ref="B395:B400"/>
    <mergeCell ref="C395:C400"/>
    <mergeCell ref="J395:J400"/>
    <mergeCell ref="K395:K400"/>
    <mergeCell ref="A401:A406"/>
    <mergeCell ref="B401:B406"/>
    <mergeCell ref="C401:C406"/>
    <mergeCell ref="J401:J406"/>
    <mergeCell ref="K401:K406"/>
    <mergeCell ref="L413:L417"/>
    <mergeCell ref="A419:A424"/>
    <mergeCell ref="B419:B424"/>
    <mergeCell ref="C419:C424"/>
    <mergeCell ref="J419:J424"/>
    <mergeCell ref="K419:K424"/>
    <mergeCell ref="L419:L423"/>
    <mergeCell ref="A407:A412"/>
    <mergeCell ref="B407:B412"/>
    <mergeCell ref="C407:C412"/>
    <mergeCell ref="J407:J412"/>
    <mergeCell ref="K407:K412"/>
    <mergeCell ref="A413:A418"/>
    <mergeCell ref="B413:B418"/>
    <mergeCell ref="C413:C418"/>
    <mergeCell ref="J413:J418"/>
    <mergeCell ref="K413:K418"/>
    <mergeCell ref="A444:D444"/>
    <mergeCell ref="A437:A442"/>
    <mergeCell ref="B437:B442"/>
    <mergeCell ref="C437:C442"/>
    <mergeCell ref="J437:J442"/>
    <mergeCell ref="K437:K442"/>
    <mergeCell ref="A443:I443"/>
    <mergeCell ref="A425:A430"/>
    <mergeCell ref="B425:B430"/>
    <mergeCell ref="C425:C430"/>
    <mergeCell ref="J425:J430"/>
    <mergeCell ref="K425:K430"/>
    <mergeCell ref="A431:A436"/>
    <mergeCell ref="B431:B436"/>
    <mergeCell ref="C431:C436"/>
    <mergeCell ref="J431:J436"/>
    <mergeCell ref="K431:K436"/>
  </mergeCells>
  <printOptions horizontalCentered="1" verticalCentered="1"/>
  <pageMargins left="0.11811023622047245" right="0.11811023622047245" top="0.15748031496062992" bottom="0.15748031496062992" header="0.11811023622047245" footer="0.11811023622047245"/>
  <pageSetup paperSize="9" fitToHeight="14" orientation="landscape" r:id="rId1"/>
  <rowBreaks count="11" manualBreakCount="11">
    <brk id="64" max="10" man="1"/>
    <brk id="94" max="10" man="1"/>
    <brk id="124" max="10" man="1"/>
    <brk id="160" max="10" man="1"/>
    <brk id="190" max="10" man="1"/>
    <brk id="226" max="10" man="1"/>
    <brk id="262" max="10" man="1"/>
    <brk id="298" max="10" man="1"/>
    <brk id="334" max="10" man="1"/>
    <brk id="370" max="10" man="1"/>
    <brk id="40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134"/>
  <sheetViews>
    <sheetView topLeftCell="A11" zoomScaleSheetLayoutView="100" workbookViewId="0">
      <selection activeCell="E20" sqref="E20"/>
    </sheetView>
  </sheetViews>
  <sheetFormatPr defaultColWidth="8.85546875" defaultRowHeight="15"/>
  <cols>
    <col min="1" max="1" width="5.42578125" style="76" customWidth="1"/>
    <col min="2" max="2" width="40.42578125" customWidth="1"/>
    <col min="4" max="4" width="11.7109375" style="77" customWidth="1"/>
    <col min="5" max="6" width="9.140625" style="69" bestFit="1" customWidth="1"/>
    <col min="7" max="8" width="7.85546875" style="69" bestFit="1" customWidth="1"/>
    <col min="9" max="9" width="9" style="69" bestFit="1" customWidth="1"/>
    <col min="10" max="10" width="38.42578125" customWidth="1"/>
    <col min="11" max="11" width="14.7109375" customWidth="1"/>
    <col min="257" max="257" width="5.42578125" customWidth="1"/>
    <col min="258" max="258" width="40.42578125" customWidth="1"/>
    <col min="260" max="260" width="11.7109375" customWidth="1"/>
    <col min="261" max="262" width="9.140625" bestFit="1" customWidth="1"/>
    <col min="263" max="264" width="7.85546875" bestFit="1" customWidth="1"/>
    <col min="265" max="265" width="9" bestFit="1" customWidth="1"/>
    <col min="266" max="266" width="38.42578125" customWidth="1"/>
    <col min="267" max="267" width="14.7109375" customWidth="1"/>
    <col min="513" max="513" width="5.42578125" customWidth="1"/>
    <col min="514" max="514" width="40.42578125" customWidth="1"/>
    <col min="516" max="516" width="11.7109375" customWidth="1"/>
    <col min="517" max="518" width="9.140625" bestFit="1" customWidth="1"/>
    <col min="519" max="520" width="7.85546875" bestFit="1" customWidth="1"/>
    <col min="521" max="521" width="9" bestFit="1" customWidth="1"/>
    <col min="522" max="522" width="38.42578125" customWidth="1"/>
    <col min="523" max="523" width="14.7109375" customWidth="1"/>
    <col min="769" max="769" width="5.42578125" customWidth="1"/>
    <col min="770" max="770" width="40.42578125" customWidth="1"/>
    <col min="772" max="772" width="11.7109375" customWidth="1"/>
    <col min="773" max="774" width="9.140625" bestFit="1" customWidth="1"/>
    <col min="775" max="776" width="7.85546875" bestFit="1" customWidth="1"/>
    <col min="777" max="777" width="9" bestFit="1" customWidth="1"/>
    <col min="778" max="778" width="38.42578125" customWidth="1"/>
    <col min="779" max="779" width="14.7109375" customWidth="1"/>
    <col min="1025" max="1025" width="5.42578125" customWidth="1"/>
    <col min="1026" max="1026" width="40.42578125" customWidth="1"/>
    <col min="1028" max="1028" width="11.7109375" customWidth="1"/>
    <col min="1029" max="1030" width="9.140625" bestFit="1" customWidth="1"/>
    <col min="1031" max="1032" width="7.85546875" bestFit="1" customWidth="1"/>
    <col min="1033" max="1033" width="9" bestFit="1" customWidth="1"/>
    <col min="1034" max="1034" width="38.42578125" customWidth="1"/>
    <col min="1035" max="1035" width="14.7109375" customWidth="1"/>
    <col min="1281" max="1281" width="5.42578125" customWidth="1"/>
    <col min="1282" max="1282" width="40.42578125" customWidth="1"/>
    <col min="1284" max="1284" width="11.7109375" customWidth="1"/>
    <col min="1285" max="1286" width="9.140625" bestFit="1" customWidth="1"/>
    <col min="1287" max="1288" width="7.85546875" bestFit="1" customWidth="1"/>
    <col min="1289" max="1289" width="9" bestFit="1" customWidth="1"/>
    <col min="1290" max="1290" width="38.42578125" customWidth="1"/>
    <col min="1291" max="1291" width="14.7109375" customWidth="1"/>
    <col min="1537" max="1537" width="5.42578125" customWidth="1"/>
    <col min="1538" max="1538" width="40.42578125" customWidth="1"/>
    <col min="1540" max="1540" width="11.7109375" customWidth="1"/>
    <col min="1541" max="1542" width="9.140625" bestFit="1" customWidth="1"/>
    <col min="1543" max="1544" width="7.85546875" bestFit="1" customWidth="1"/>
    <col min="1545" max="1545" width="9" bestFit="1" customWidth="1"/>
    <col min="1546" max="1546" width="38.42578125" customWidth="1"/>
    <col min="1547" max="1547" width="14.7109375" customWidth="1"/>
    <col min="1793" max="1793" width="5.42578125" customWidth="1"/>
    <col min="1794" max="1794" width="40.42578125" customWidth="1"/>
    <col min="1796" max="1796" width="11.7109375" customWidth="1"/>
    <col min="1797" max="1798" width="9.140625" bestFit="1" customWidth="1"/>
    <col min="1799" max="1800" width="7.85546875" bestFit="1" customWidth="1"/>
    <col min="1801" max="1801" width="9" bestFit="1" customWidth="1"/>
    <col min="1802" max="1802" width="38.42578125" customWidth="1"/>
    <col min="1803" max="1803" width="14.7109375" customWidth="1"/>
    <col min="2049" max="2049" width="5.42578125" customWidth="1"/>
    <col min="2050" max="2050" width="40.42578125" customWidth="1"/>
    <col min="2052" max="2052" width="11.7109375" customWidth="1"/>
    <col min="2053" max="2054" width="9.140625" bestFit="1" customWidth="1"/>
    <col min="2055" max="2056" width="7.85546875" bestFit="1" customWidth="1"/>
    <col min="2057" max="2057" width="9" bestFit="1" customWidth="1"/>
    <col min="2058" max="2058" width="38.42578125" customWidth="1"/>
    <col min="2059" max="2059" width="14.7109375" customWidth="1"/>
    <col min="2305" max="2305" width="5.42578125" customWidth="1"/>
    <col min="2306" max="2306" width="40.42578125" customWidth="1"/>
    <col min="2308" max="2308" width="11.7109375" customWidth="1"/>
    <col min="2309" max="2310" width="9.140625" bestFit="1" customWidth="1"/>
    <col min="2311" max="2312" width="7.85546875" bestFit="1" customWidth="1"/>
    <col min="2313" max="2313" width="9" bestFit="1" customWidth="1"/>
    <col min="2314" max="2314" width="38.42578125" customWidth="1"/>
    <col min="2315" max="2315" width="14.7109375" customWidth="1"/>
    <col min="2561" max="2561" width="5.42578125" customWidth="1"/>
    <col min="2562" max="2562" width="40.42578125" customWidth="1"/>
    <col min="2564" max="2564" width="11.7109375" customWidth="1"/>
    <col min="2565" max="2566" width="9.140625" bestFit="1" customWidth="1"/>
    <col min="2567" max="2568" width="7.85546875" bestFit="1" customWidth="1"/>
    <col min="2569" max="2569" width="9" bestFit="1" customWidth="1"/>
    <col min="2570" max="2570" width="38.42578125" customWidth="1"/>
    <col min="2571" max="2571" width="14.7109375" customWidth="1"/>
    <col min="2817" max="2817" width="5.42578125" customWidth="1"/>
    <col min="2818" max="2818" width="40.42578125" customWidth="1"/>
    <col min="2820" max="2820" width="11.7109375" customWidth="1"/>
    <col min="2821" max="2822" width="9.140625" bestFit="1" customWidth="1"/>
    <col min="2823" max="2824" width="7.85546875" bestFit="1" customWidth="1"/>
    <col min="2825" max="2825" width="9" bestFit="1" customWidth="1"/>
    <col min="2826" max="2826" width="38.42578125" customWidth="1"/>
    <col min="2827" max="2827" width="14.7109375" customWidth="1"/>
    <col min="3073" max="3073" width="5.42578125" customWidth="1"/>
    <col min="3074" max="3074" width="40.42578125" customWidth="1"/>
    <col min="3076" max="3076" width="11.7109375" customWidth="1"/>
    <col min="3077" max="3078" width="9.140625" bestFit="1" customWidth="1"/>
    <col min="3079" max="3080" width="7.85546875" bestFit="1" customWidth="1"/>
    <col min="3081" max="3081" width="9" bestFit="1" customWidth="1"/>
    <col min="3082" max="3082" width="38.42578125" customWidth="1"/>
    <col min="3083" max="3083" width="14.7109375" customWidth="1"/>
    <col min="3329" max="3329" width="5.42578125" customWidth="1"/>
    <col min="3330" max="3330" width="40.42578125" customWidth="1"/>
    <col min="3332" max="3332" width="11.7109375" customWidth="1"/>
    <col min="3333" max="3334" width="9.140625" bestFit="1" customWidth="1"/>
    <col min="3335" max="3336" width="7.85546875" bestFit="1" customWidth="1"/>
    <col min="3337" max="3337" width="9" bestFit="1" customWidth="1"/>
    <col min="3338" max="3338" width="38.42578125" customWidth="1"/>
    <col min="3339" max="3339" width="14.7109375" customWidth="1"/>
    <col min="3585" max="3585" width="5.42578125" customWidth="1"/>
    <col min="3586" max="3586" width="40.42578125" customWidth="1"/>
    <col min="3588" max="3588" width="11.7109375" customWidth="1"/>
    <col min="3589" max="3590" width="9.140625" bestFit="1" customWidth="1"/>
    <col min="3591" max="3592" width="7.85546875" bestFit="1" customWidth="1"/>
    <col min="3593" max="3593" width="9" bestFit="1" customWidth="1"/>
    <col min="3594" max="3594" width="38.42578125" customWidth="1"/>
    <col min="3595" max="3595" width="14.7109375" customWidth="1"/>
    <col min="3841" max="3841" width="5.42578125" customWidth="1"/>
    <col min="3842" max="3842" width="40.42578125" customWidth="1"/>
    <col min="3844" max="3844" width="11.7109375" customWidth="1"/>
    <col min="3845" max="3846" width="9.140625" bestFit="1" customWidth="1"/>
    <col min="3847" max="3848" width="7.85546875" bestFit="1" customWidth="1"/>
    <col min="3849" max="3849" width="9" bestFit="1" customWidth="1"/>
    <col min="3850" max="3850" width="38.42578125" customWidth="1"/>
    <col min="3851" max="3851" width="14.7109375" customWidth="1"/>
    <col min="4097" max="4097" width="5.42578125" customWidth="1"/>
    <col min="4098" max="4098" width="40.42578125" customWidth="1"/>
    <col min="4100" max="4100" width="11.7109375" customWidth="1"/>
    <col min="4101" max="4102" width="9.140625" bestFit="1" customWidth="1"/>
    <col min="4103" max="4104" width="7.85546875" bestFit="1" customWidth="1"/>
    <col min="4105" max="4105" width="9" bestFit="1" customWidth="1"/>
    <col min="4106" max="4106" width="38.42578125" customWidth="1"/>
    <col min="4107" max="4107" width="14.7109375" customWidth="1"/>
    <col min="4353" max="4353" width="5.42578125" customWidth="1"/>
    <col min="4354" max="4354" width="40.42578125" customWidth="1"/>
    <col min="4356" max="4356" width="11.7109375" customWidth="1"/>
    <col min="4357" max="4358" width="9.140625" bestFit="1" customWidth="1"/>
    <col min="4359" max="4360" width="7.85546875" bestFit="1" customWidth="1"/>
    <col min="4361" max="4361" width="9" bestFit="1" customWidth="1"/>
    <col min="4362" max="4362" width="38.42578125" customWidth="1"/>
    <col min="4363" max="4363" width="14.7109375" customWidth="1"/>
    <col min="4609" max="4609" width="5.42578125" customWidth="1"/>
    <col min="4610" max="4610" width="40.42578125" customWidth="1"/>
    <col min="4612" max="4612" width="11.7109375" customWidth="1"/>
    <col min="4613" max="4614" width="9.140625" bestFit="1" customWidth="1"/>
    <col min="4615" max="4616" width="7.85546875" bestFit="1" customWidth="1"/>
    <col min="4617" max="4617" width="9" bestFit="1" customWidth="1"/>
    <col min="4618" max="4618" width="38.42578125" customWidth="1"/>
    <col min="4619" max="4619" width="14.7109375" customWidth="1"/>
    <col min="4865" max="4865" width="5.42578125" customWidth="1"/>
    <col min="4866" max="4866" width="40.42578125" customWidth="1"/>
    <col min="4868" max="4868" width="11.7109375" customWidth="1"/>
    <col min="4869" max="4870" width="9.140625" bestFit="1" customWidth="1"/>
    <col min="4871" max="4872" width="7.85546875" bestFit="1" customWidth="1"/>
    <col min="4873" max="4873" width="9" bestFit="1" customWidth="1"/>
    <col min="4874" max="4874" width="38.42578125" customWidth="1"/>
    <col min="4875" max="4875" width="14.7109375" customWidth="1"/>
    <col min="5121" max="5121" width="5.42578125" customWidth="1"/>
    <col min="5122" max="5122" width="40.42578125" customWidth="1"/>
    <col min="5124" max="5124" width="11.7109375" customWidth="1"/>
    <col min="5125" max="5126" width="9.140625" bestFit="1" customWidth="1"/>
    <col min="5127" max="5128" width="7.85546875" bestFit="1" customWidth="1"/>
    <col min="5129" max="5129" width="9" bestFit="1" customWidth="1"/>
    <col min="5130" max="5130" width="38.42578125" customWidth="1"/>
    <col min="5131" max="5131" width="14.7109375" customWidth="1"/>
    <col min="5377" max="5377" width="5.42578125" customWidth="1"/>
    <col min="5378" max="5378" width="40.42578125" customWidth="1"/>
    <col min="5380" max="5380" width="11.7109375" customWidth="1"/>
    <col min="5381" max="5382" width="9.140625" bestFit="1" customWidth="1"/>
    <col min="5383" max="5384" width="7.85546875" bestFit="1" customWidth="1"/>
    <col min="5385" max="5385" width="9" bestFit="1" customWidth="1"/>
    <col min="5386" max="5386" width="38.42578125" customWidth="1"/>
    <col min="5387" max="5387" width="14.7109375" customWidth="1"/>
    <col min="5633" max="5633" width="5.42578125" customWidth="1"/>
    <col min="5634" max="5634" width="40.42578125" customWidth="1"/>
    <col min="5636" max="5636" width="11.7109375" customWidth="1"/>
    <col min="5637" max="5638" width="9.140625" bestFit="1" customWidth="1"/>
    <col min="5639" max="5640" width="7.85546875" bestFit="1" customWidth="1"/>
    <col min="5641" max="5641" width="9" bestFit="1" customWidth="1"/>
    <col min="5642" max="5642" width="38.42578125" customWidth="1"/>
    <col min="5643" max="5643" width="14.7109375" customWidth="1"/>
    <col min="5889" max="5889" width="5.42578125" customWidth="1"/>
    <col min="5890" max="5890" width="40.42578125" customWidth="1"/>
    <col min="5892" max="5892" width="11.7109375" customWidth="1"/>
    <col min="5893" max="5894" width="9.140625" bestFit="1" customWidth="1"/>
    <col min="5895" max="5896" width="7.85546875" bestFit="1" customWidth="1"/>
    <col min="5897" max="5897" width="9" bestFit="1" customWidth="1"/>
    <col min="5898" max="5898" width="38.42578125" customWidth="1"/>
    <col min="5899" max="5899" width="14.7109375" customWidth="1"/>
    <col min="6145" max="6145" width="5.42578125" customWidth="1"/>
    <col min="6146" max="6146" width="40.42578125" customWidth="1"/>
    <col min="6148" max="6148" width="11.7109375" customWidth="1"/>
    <col min="6149" max="6150" width="9.140625" bestFit="1" customWidth="1"/>
    <col min="6151" max="6152" width="7.85546875" bestFit="1" customWidth="1"/>
    <col min="6153" max="6153" width="9" bestFit="1" customWidth="1"/>
    <col min="6154" max="6154" width="38.42578125" customWidth="1"/>
    <col min="6155" max="6155" width="14.7109375" customWidth="1"/>
    <col min="6401" max="6401" width="5.42578125" customWidth="1"/>
    <col min="6402" max="6402" width="40.42578125" customWidth="1"/>
    <col min="6404" max="6404" width="11.7109375" customWidth="1"/>
    <col min="6405" max="6406" width="9.140625" bestFit="1" customWidth="1"/>
    <col min="6407" max="6408" width="7.85546875" bestFit="1" customWidth="1"/>
    <col min="6409" max="6409" width="9" bestFit="1" customWidth="1"/>
    <col min="6410" max="6410" width="38.42578125" customWidth="1"/>
    <col min="6411" max="6411" width="14.7109375" customWidth="1"/>
    <col min="6657" max="6657" width="5.42578125" customWidth="1"/>
    <col min="6658" max="6658" width="40.42578125" customWidth="1"/>
    <col min="6660" max="6660" width="11.7109375" customWidth="1"/>
    <col min="6661" max="6662" width="9.140625" bestFit="1" customWidth="1"/>
    <col min="6663" max="6664" width="7.85546875" bestFit="1" customWidth="1"/>
    <col min="6665" max="6665" width="9" bestFit="1" customWidth="1"/>
    <col min="6666" max="6666" width="38.42578125" customWidth="1"/>
    <col min="6667" max="6667" width="14.7109375" customWidth="1"/>
    <col min="6913" max="6913" width="5.42578125" customWidth="1"/>
    <col min="6914" max="6914" width="40.42578125" customWidth="1"/>
    <col min="6916" max="6916" width="11.7109375" customWidth="1"/>
    <col min="6917" max="6918" width="9.140625" bestFit="1" customWidth="1"/>
    <col min="6919" max="6920" width="7.85546875" bestFit="1" customWidth="1"/>
    <col min="6921" max="6921" width="9" bestFit="1" customWidth="1"/>
    <col min="6922" max="6922" width="38.42578125" customWidth="1"/>
    <col min="6923" max="6923" width="14.7109375" customWidth="1"/>
    <col min="7169" max="7169" width="5.42578125" customWidth="1"/>
    <col min="7170" max="7170" width="40.42578125" customWidth="1"/>
    <col min="7172" max="7172" width="11.7109375" customWidth="1"/>
    <col min="7173" max="7174" width="9.140625" bestFit="1" customWidth="1"/>
    <col min="7175" max="7176" width="7.85546875" bestFit="1" customWidth="1"/>
    <col min="7177" max="7177" width="9" bestFit="1" customWidth="1"/>
    <col min="7178" max="7178" width="38.42578125" customWidth="1"/>
    <col min="7179" max="7179" width="14.7109375" customWidth="1"/>
    <col min="7425" max="7425" width="5.42578125" customWidth="1"/>
    <col min="7426" max="7426" width="40.42578125" customWidth="1"/>
    <col min="7428" max="7428" width="11.7109375" customWidth="1"/>
    <col min="7429" max="7430" width="9.140625" bestFit="1" customWidth="1"/>
    <col min="7431" max="7432" width="7.85546875" bestFit="1" customWidth="1"/>
    <col min="7433" max="7433" width="9" bestFit="1" customWidth="1"/>
    <col min="7434" max="7434" width="38.42578125" customWidth="1"/>
    <col min="7435" max="7435" width="14.7109375" customWidth="1"/>
    <col min="7681" max="7681" width="5.42578125" customWidth="1"/>
    <col min="7682" max="7682" width="40.42578125" customWidth="1"/>
    <col min="7684" max="7684" width="11.7109375" customWidth="1"/>
    <col min="7685" max="7686" width="9.140625" bestFit="1" customWidth="1"/>
    <col min="7687" max="7688" width="7.85546875" bestFit="1" customWidth="1"/>
    <col min="7689" max="7689" width="9" bestFit="1" customWidth="1"/>
    <col min="7690" max="7690" width="38.42578125" customWidth="1"/>
    <col min="7691" max="7691" width="14.7109375" customWidth="1"/>
    <col min="7937" max="7937" width="5.42578125" customWidth="1"/>
    <col min="7938" max="7938" width="40.42578125" customWidth="1"/>
    <col min="7940" max="7940" width="11.7109375" customWidth="1"/>
    <col min="7941" max="7942" width="9.140625" bestFit="1" customWidth="1"/>
    <col min="7943" max="7944" width="7.85546875" bestFit="1" customWidth="1"/>
    <col min="7945" max="7945" width="9" bestFit="1" customWidth="1"/>
    <col min="7946" max="7946" width="38.42578125" customWidth="1"/>
    <col min="7947" max="7947" width="14.7109375" customWidth="1"/>
    <col min="8193" max="8193" width="5.42578125" customWidth="1"/>
    <col min="8194" max="8194" width="40.42578125" customWidth="1"/>
    <col min="8196" max="8196" width="11.7109375" customWidth="1"/>
    <col min="8197" max="8198" width="9.140625" bestFit="1" customWidth="1"/>
    <col min="8199" max="8200" width="7.85546875" bestFit="1" customWidth="1"/>
    <col min="8201" max="8201" width="9" bestFit="1" customWidth="1"/>
    <col min="8202" max="8202" width="38.42578125" customWidth="1"/>
    <col min="8203" max="8203" width="14.7109375" customWidth="1"/>
    <col min="8449" max="8449" width="5.42578125" customWidth="1"/>
    <col min="8450" max="8450" width="40.42578125" customWidth="1"/>
    <col min="8452" max="8452" width="11.7109375" customWidth="1"/>
    <col min="8453" max="8454" width="9.140625" bestFit="1" customWidth="1"/>
    <col min="8455" max="8456" width="7.85546875" bestFit="1" customWidth="1"/>
    <col min="8457" max="8457" width="9" bestFit="1" customWidth="1"/>
    <col min="8458" max="8458" width="38.42578125" customWidth="1"/>
    <col min="8459" max="8459" width="14.7109375" customWidth="1"/>
    <col min="8705" max="8705" width="5.42578125" customWidth="1"/>
    <col min="8706" max="8706" width="40.42578125" customWidth="1"/>
    <col min="8708" max="8708" width="11.7109375" customWidth="1"/>
    <col min="8709" max="8710" width="9.140625" bestFit="1" customWidth="1"/>
    <col min="8711" max="8712" width="7.85546875" bestFit="1" customWidth="1"/>
    <col min="8713" max="8713" width="9" bestFit="1" customWidth="1"/>
    <col min="8714" max="8714" width="38.42578125" customWidth="1"/>
    <col min="8715" max="8715" width="14.7109375" customWidth="1"/>
    <col min="8961" max="8961" width="5.42578125" customWidth="1"/>
    <col min="8962" max="8962" width="40.42578125" customWidth="1"/>
    <col min="8964" max="8964" width="11.7109375" customWidth="1"/>
    <col min="8965" max="8966" width="9.140625" bestFit="1" customWidth="1"/>
    <col min="8967" max="8968" width="7.85546875" bestFit="1" customWidth="1"/>
    <col min="8969" max="8969" width="9" bestFit="1" customWidth="1"/>
    <col min="8970" max="8970" width="38.42578125" customWidth="1"/>
    <col min="8971" max="8971" width="14.7109375" customWidth="1"/>
    <col min="9217" max="9217" width="5.42578125" customWidth="1"/>
    <col min="9218" max="9218" width="40.42578125" customWidth="1"/>
    <col min="9220" max="9220" width="11.7109375" customWidth="1"/>
    <col min="9221" max="9222" width="9.140625" bestFit="1" customWidth="1"/>
    <col min="9223" max="9224" width="7.85546875" bestFit="1" customWidth="1"/>
    <col min="9225" max="9225" width="9" bestFit="1" customWidth="1"/>
    <col min="9226" max="9226" width="38.42578125" customWidth="1"/>
    <col min="9227" max="9227" width="14.7109375" customWidth="1"/>
    <col min="9473" max="9473" width="5.42578125" customWidth="1"/>
    <col min="9474" max="9474" width="40.42578125" customWidth="1"/>
    <col min="9476" max="9476" width="11.7109375" customWidth="1"/>
    <col min="9477" max="9478" width="9.140625" bestFit="1" customWidth="1"/>
    <col min="9479" max="9480" width="7.85546875" bestFit="1" customWidth="1"/>
    <col min="9481" max="9481" width="9" bestFit="1" customWidth="1"/>
    <col min="9482" max="9482" width="38.42578125" customWidth="1"/>
    <col min="9483" max="9483" width="14.7109375" customWidth="1"/>
    <col min="9729" max="9729" width="5.42578125" customWidth="1"/>
    <col min="9730" max="9730" width="40.42578125" customWidth="1"/>
    <col min="9732" max="9732" width="11.7109375" customWidth="1"/>
    <col min="9733" max="9734" width="9.140625" bestFit="1" customWidth="1"/>
    <col min="9735" max="9736" width="7.85546875" bestFit="1" customWidth="1"/>
    <col min="9737" max="9737" width="9" bestFit="1" customWidth="1"/>
    <col min="9738" max="9738" width="38.42578125" customWidth="1"/>
    <col min="9739" max="9739" width="14.7109375" customWidth="1"/>
    <col min="9985" max="9985" width="5.42578125" customWidth="1"/>
    <col min="9986" max="9986" width="40.42578125" customWidth="1"/>
    <col min="9988" max="9988" width="11.7109375" customWidth="1"/>
    <col min="9989" max="9990" width="9.140625" bestFit="1" customWidth="1"/>
    <col min="9991" max="9992" width="7.85546875" bestFit="1" customWidth="1"/>
    <col min="9993" max="9993" width="9" bestFit="1" customWidth="1"/>
    <col min="9994" max="9994" width="38.42578125" customWidth="1"/>
    <col min="9995" max="9995" width="14.7109375" customWidth="1"/>
    <col min="10241" max="10241" width="5.42578125" customWidth="1"/>
    <col min="10242" max="10242" width="40.42578125" customWidth="1"/>
    <col min="10244" max="10244" width="11.7109375" customWidth="1"/>
    <col min="10245" max="10246" width="9.140625" bestFit="1" customWidth="1"/>
    <col min="10247" max="10248" width="7.85546875" bestFit="1" customWidth="1"/>
    <col min="10249" max="10249" width="9" bestFit="1" customWidth="1"/>
    <col min="10250" max="10250" width="38.42578125" customWidth="1"/>
    <col min="10251" max="10251" width="14.7109375" customWidth="1"/>
    <col min="10497" max="10497" width="5.42578125" customWidth="1"/>
    <col min="10498" max="10498" width="40.42578125" customWidth="1"/>
    <col min="10500" max="10500" width="11.7109375" customWidth="1"/>
    <col min="10501" max="10502" width="9.140625" bestFit="1" customWidth="1"/>
    <col min="10503" max="10504" width="7.85546875" bestFit="1" customWidth="1"/>
    <col min="10505" max="10505" width="9" bestFit="1" customWidth="1"/>
    <col min="10506" max="10506" width="38.42578125" customWidth="1"/>
    <col min="10507" max="10507" width="14.7109375" customWidth="1"/>
    <col min="10753" max="10753" width="5.42578125" customWidth="1"/>
    <col min="10754" max="10754" width="40.42578125" customWidth="1"/>
    <col min="10756" max="10756" width="11.7109375" customWidth="1"/>
    <col min="10757" max="10758" width="9.140625" bestFit="1" customWidth="1"/>
    <col min="10759" max="10760" width="7.85546875" bestFit="1" customWidth="1"/>
    <col min="10761" max="10761" width="9" bestFit="1" customWidth="1"/>
    <col min="10762" max="10762" width="38.42578125" customWidth="1"/>
    <col min="10763" max="10763" width="14.7109375" customWidth="1"/>
    <col min="11009" max="11009" width="5.42578125" customWidth="1"/>
    <col min="11010" max="11010" width="40.42578125" customWidth="1"/>
    <col min="11012" max="11012" width="11.7109375" customWidth="1"/>
    <col min="11013" max="11014" width="9.140625" bestFit="1" customWidth="1"/>
    <col min="11015" max="11016" width="7.85546875" bestFit="1" customWidth="1"/>
    <col min="11017" max="11017" width="9" bestFit="1" customWidth="1"/>
    <col min="11018" max="11018" width="38.42578125" customWidth="1"/>
    <col min="11019" max="11019" width="14.7109375" customWidth="1"/>
    <col min="11265" max="11265" width="5.42578125" customWidth="1"/>
    <col min="11266" max="11266" width="40.42578125" customWidth="1"/>
    <col min="11268" max="11268" width="11.7109375" customWidth="1"/>
    <col min="11269" max="11270" width="9.140625" bestFit="1" customWidth="1"/>
    <col min="11271" max="11272" width="7.85546875" bestFit="1" customWidth="1"/>
    <col min="11273" max="11273" width="9" bestFit="1" customWidth="1"/>
    <col min="11274" max="11274" width="38.42578125" customWidth="1"/>
    <col min="11275" max="11275" width="14.7109375" customWidth="1"/>
    <col min="11521" max="11521" width="5.42578125" customWidth="1"/>
    <col min="11522" max="11522" width="40.42578125" customWidth="1"/>
    <col min="11524" max="11524" width="11.7109375" customWidth="1"/>
    <col min="11525" max="11526" width="9.140625" bestFit="1" customWidth="1"/>
    <col min="11527" max="11528" width="7.85546875" bestFit="1" customWidth="1"/>
    <col min="11529" max="11529" width="9" bestFit="1" customWidth="1"/>
    <col min="11530" max="11530" width="38.42578125" customWidth="1"/>
    <col min="11531" max="11531" width="14.7109375" customWidth="1"/>
    <col min="11777" max="11777" width="5.42578125" customWidth="1"/>
    <col min="11778" max="11778" width="40.42578125" customWidth="1"/>
    <col min="11780" max="11780" width="11.7109375" customWidth="1"/>
    <col min="11781" max="11782" width="9.140625" bestFit="1" customWidth="1"/>
    <col min="11783" max="11784" width="7.85546875" bestFit="1" customWidth="1"/>
    <col min="11785" max="11785" width="9" bestFit="1" customWidth="1"/>
    <col min="11786" max="11786" width="38.42578125" customWidth="1"/>
    <col min="11787" max="11787" width="14.7109375" customWidth="1"/>
    <col min="12033" max="12033" width="5.42578125" customWidth="1"/>
    <col min="12034" max="12034" width="40.42578125" customWidth="1"/>
    <col min="12036" max="12036" width="11.7109375" customWidth="1"/>
    <col min="12037" max="12038" width="9.140625" bestFit="1" customWidth="1"/>
    <col min="12039" max="12040" width="7.85546875" bestFit="1" customWidth="1"/>
    <col min="12041" max="12041" width="9" bestFit="1" customWidth="1"/>
    <col min="12042" max="12042" width="38.42578125" customWidth="1"/>
    <col min="12043" max="12043" width="14.7109375" customWidth="1"/>
    <col min="12289" max="12289" width="5.42578125" customWidth="1"/>
    <col min="12290" max="12290" width="40.42578125" customWidth="1"/>
    <col min="12292" max="12292" width="11.7109375" customWidth="1"/>
    <col min="12293" max="12294" width="9.140625" bestFit="1" customWidth="1"/>
    <col min="12295" max="12296" width="7.85546875" bestFit="1" customWidth="1"/>
    <col min="12297" max="12297" width="9" bestFit="1" customWidth="1"/>
    <col min="12298" max="12298" width="38.42578125" customWidth="1"/>
    <col min="12299" max="12299" width="14.7109375" customWidth="1"/>
    <col min="12545" max="12545" width="5.42578125" customWidth="1"/>
    <col min="12546" max="12546" width="40.42578125" customWidth="1"/>
    <col min="12548" max="12548" width="11.7109375" customWidth="1"/>
    <col min="12549" max="12550" width="9.140625" bestFit="1" customWidth="1"/>
    <col min="12551" max="12552" width="7.85546875" bestFit="1" customWidth="1"/>
    <col min="12553" max="12553" width="9" bestFit="1" customWidth="1"/>
    <col min="12554" max="12554" width="38.42578125" customWidth="1"/>
    <col min="12555" max="12555" width="14.7109375" customWidth="1"/>
    <col min="12801" max="12801" width="5.42578125" customWidth="1"/>
    <col min="12802" max="12802" width="40.42578125" customWidth="1"/>
    <col min="12804" max="12804" width="11.7109375" customWidth="1"/>
    <col min="12805" max="12806" width="9.140625" bestFit="1" customWidth="1"/>
    <col min="12807" max="12808" width="7.85546875" bestFit="1" customWidth="1"/>
    <col min="12809" max="12809" width="9" bestFit="1" customWidth="1"/>
    <col min="12810" max="12810" width="38.42578125" customWidth="1"/>
    <col min="12811" max="12811" width="14.7109375" customWidth="1"/>
    <col min="13057" max="13057" width="5.42578125" customWidth="1"/>
    <col min="13058" max="13058" width="40.42578125" customWidth="1"/>
    <col min="13060" max="13060" width="11.7109375" customWidth="1"/>
    <col min="13061" max="13062" width="9.140625" bestFit="1" customWidth="1"/>
    <col min="13063" max="13064" width="7.85546875" bestFit="1" customWidth="1"/>
    <col min="13065" max="13065" width="9" bestFit="1" customWidth="1"/>
    <col min="13066" max="13066" width="38.42578125" customWidth="1"/>
    <col min="13067" max="13067" width="14.7109375" customWidth="1"/>
    <col min="13313" max="13313" width="5.42578125" customWidth="1"/>
    <col min="13314" max="13314" width="40.42578125" customWidth="1"/>
    <col min="13316" max="13316" width="11.7109375" customWidth="1"/>
    <col min="13317" max="13318" width="9.140625" bestFit="1" customWidth="1"/>
    <col min="13319" max="13320" width="7.85546875" bestFit="1" customWidth="1"/>
    <col min="13321" max="13321" width="9" bestFit="1" customWidth="1"/>
    <col min="13322" max="13322" width="38.42578125" customWidth="1"/>
    <col min="13323" max="13323" width="14.7109375" customWidth="1"/>
    <col min="13569" max="13569" width="5.42578125" customWidth="1"/>
    <col min="13570" max="13570" width="40.42578125" customWidth="1"/>
    <col min="13572" max="13572" width="11.7109375" customWidth="1"/>
    <col min="13573" max="13574" width="9.140625" bestFit="1" customWidth="1"/>
    <col min="13575" max="13576" width="7.85546875" bestFit="1" customWidth="1"/>
    <col min="13577" max="13577" width="9" bestFit="1" customWidth="1"/>
    <col min="13578" max="13578" width="38.42578125" customWidth="1"/>
    <col min="13579" max="13579" width="14.7109375" customWidth="1"/>
    <col min="13825" max="13825" width="5.42578125" customWidth="1"/>
    <col min="13826" max="13826" width="40.42578125" customWidth="1"/>
    <col min="13828" max="13828" width="11.7109375" customWidth="1"/>
    <col min="13829" max="13830" width="9.140625" bestFit="1" customWidth="1"/>
    <col min="13831" max="13832" width="7.85546875" bestFit="1" customWidth="1"/>
    <col min="13833" max="13833" width="9" bestFit="1" customWidth="1"/>
    <col min="13834" max="13834" width="38.42578125" customWidth="1"/>
    <col min="13835" max="13835" width="14.7109375" customWidth="1"/>
    <col min="14081" max="14081" width="5.42578125" customWidth="1"/>
    <col min="14082" max="14082" width="40.42578125" customWidth="1"/>
    <col min="14084" max="14084" width="11.7109375" customWidth="1"/>
    <col min="14085" max="14086" width="9.140625" bestFit="1" customWidth="1"/>
    <col min="14087" max="14088" width="7.85546875" bestFit="1" customWidth="1"/>
    <col min="14089" max="14089" width="9" bestFit="1" customWidth="1"/>
    <col min="14090" max="14090" width="38.42578125" customWidth="1"/>
    <col min="14091" max="14091" width="14.7109375" customWidth="1"/>
    <col min="14337" max="14337" width="5.42578125" customWidth="1"/>
    <col min="14338" max="14338" width="40.42578125" customWidth="1"/>
    <col min="14340" max="14340" width="11.7109375" customWidth="1"/>
    <col min="14341" max="14342" width="9.140625" bestFit="1" customWidth="1"/>
    <col min="14343" max="14344" width="7.85546875" bestFit="1" customWidth="1"/>
    <col min="14345" max="14345" width="9" bestFit="1" customWidth="1"/>
    <col min="14346" max="14346" width="38.42578125" customWidth="1"/>
    <col min="14347" max="14347" width="14.7109375" customWidth="1"/>
    <col min="14593" max="14593" width="5.42578125" customWidth="1"/>
    <col min="14594" max="14594" width="40.42578125" customWidth="1"/>
    <col min="14596" max="14596" width="11.7109375" customWidth="1"/>
    <col min="14597" max="14598" width="9.140625" bestFit="1" customWidth="1"/>
    <col min="14599" max="14600" width="7.85546875" bestFit="1" customWidth="1"/>
    <col min="14601" max="14601" width="9" bestFit="1" customWidth="1"/>
    <col min="14602" max="14602" width="38.42578125" customWidth="1"/>
    <col min="14603" max="14603" width="14.7109375" customWidth="1"/>
    <col min="14849" max="14849" width="5.42578125" customWidth="1"/>
    <col min="14850" max="14850" width="40.42578125" customWidth="1"/>
    <col min="14852" max="14852" width="11.7109375" customWidth="1"/>
    <col min="14853" max="14854" width="9.140625" bestFit="1" customWidth="1"/>
    <col min="14855" max="14856" width="7.85546875" bestFit="1" customWidth="1"/>
    <col min="14857" max="14857" width="9" bestFit="1" customWidth="1"/>
    <col min="14858" max="14858" width="38.42578125" customWidth="1"/>
    <col min="14859" max="14859" width="14.7109375" customWidth="1"/>
    <col min="15105" max="15105" width="5.42578125" customWidth="1"/>
    <col min="15106" max="15106" width="40.42578125" customWidth="1"/>
    <col min="15108" max="15108" width="11.7109375" customWidth="1"/>
    <col min="15109" max="15110" width="9.140625" bestFit="1" customWidth="1"/>
    <col min="15111" max="15112" width="7.85546875" bestFit="1" customWidth="1"/>
    <col min="15113" max="15113" width="9" bestFit="1" customWidth="1"/>
    <col min="15114" max="15114" width="38.42578125" customWidth="1"/>
    <col min="15115" max="15115" width="14.7109375" customWidth="1"/>
    <col min="15361" max="15361" width="5.42578125" customWidth="1"/>
    <col min="15362" max="15362" width="40.42578125" customWidth="1"/>
    <col min="15364" max="15364" width="11.7109375" customWidth="1"/>
    <col min="15365" max="15366" width="9.140625" bestFit="1" customWidth="1"/>
    <col min="15367" max="15368" width="7.85546875" bestFit="1" customWidth="1"/>
    <col min="15369" max="15369" width="9" bestFit="1" customWidth="1"/>
    <col min="15370" max="15370" width="38.42578125" customWidth="1"/>
    <col min="15371" max="15371" width="14.7109375" customWidth="1"/>
    <col min="15617" max="15617" width="5.42578125" customWidth="1"/>
    <col min="15618" max="15618" width="40.42578125" customWidth="1"/>
    <col min="15620" max="15620" width="11.7109375" customWidth="1"/>
    <col min="15621" max="15622" width="9.140625" bestFit="1" customWidth="1"/>
    <col min="15623" max="15624" width="7.85546875" bestFit="1" customWidth="1"/>
    <col min="15625" max="15625" width="9" bestFit="1" customWidth="1"/>
    <col min="15626" max="15626" width="38.42578125" customWidth="1"/>
    <col min="15627" max="15627" width="14.7109375" customWidth="1"/>
    <col min="15873" max="15873" width="5.42578125" customWidth="1"/>
    <col min="15874" max="15874" width="40.42578125" customWidth="1"/>
    <col min="15876" max="15876" width="11.7109375" customWidth="1"/>
    <col min="15877" max="15878" width="9.140625" bestFit="1" customWidth="1"/>
    <col min="15879" max="15880" width="7.85546875" bestFit="1" customWidth="1"/>
    <col min="15881" max="15881" width="9" bestFit="1" customWidth="1"/>
    <col min="15882" max="15882" width="38.42578125" customWidth="1"/>
    <col min="15883" max="15883" width="14.7109375" customWidth="1"/>
    <col min="16129" max="16129" width="5.42578125" customWidth="1"/>
    <col min="16130" max="16130" width="40.42578125" customWidth="1"/>
    <col min="16132" max="16132" width="11.7109375" customWidth="1"/>
    <col min="16133" max="16134" width="9.140625" bestFit="1" customWidth="1"/>
    <col min="16135" max="16136" width="7.85546875" bestFit="1" customWidth="1"/>
    <col min="16137" max="16137" width="9" bestFit="1" customWidth="1"/>
    <col min="16138" max="16138" width="38.42578125" customWidth="1"/>
    <col min="16139" max="16139" width="14.7109375" customWidth="1"/>
  </cols>
  <sheetData>
    <row r="1" spans="1:12">
      <c r="A1"/>
      <c r="D1"/>
      <c r="K1" s="70" t="s">
        <v>311</v>
      </c>
    </row>
    <row r="2" spans="1:12" ht="8.25" customHeight="1">
      <c r="A2"/>
      <c r="D2"/>
      <c r="F2" s="71"/>
    </row>
    <row r="3" spans="1:12" ht="14.25" customHeight="1">
      <c r="A3" s="783" t="s">
        <v>312</v>
      </c>
      <c r="B3" s="783"/>
      <c r="C3" s="783"/>
      <c r="D3" s="783"/>
      <c r="E3" s="783"/>
      <c r="F3" s="783"/>
      <c r="G3" s="783"/>
      <c r="H3" s="783"/>
      <c r="I3" s="783"/>
      <c r="J3" s="783"/>
      <c r="K3" s="783"/>
      <c r="L3" s="72"/>
    </row>
    <row r="4" spans="1:12" ht="10.5" customHeight="1">
      <c r="A4"/>
      <c r="D4"/>
    </row>
    <row r="5" spans="1:12" ht="14.25" customHeight="1">
      <c r="A5" s="784" t="s">
        <v>1</v>
      </c>
      <c r="B5" s="785" t="s">
        <v>313</v>
      </c>
      <c r="C5" s="785" t="s">
        <v>3</v>
      </c>
      <c r="D5" s="785" t="s">
        <v>4</v>
      </c>
      <c r="E5" s="785"/>
      <c r="F5" s="785"/>
      <c r="G5" s="785"/>
      <c r="H5" s="785"/>
      <c r="I5" s="785"/>
      <c r="J5" s="786" t="s">
        <v>314</v>
      </c>
      <c r="K5" s="786" t="s">
        <v>309</v>
      </c>
    </row>
    <row r="6" spans="1:12" ht="29.25" customHeight="1">
      <c r="A6" s="784"/>
      <c r="B6" s="785"/>
      <c r="C6" s="785"/>
      <c r="D6" s="73" t="s">
        <v>315</v>
      </c>
      <c r="E6" s="74" t="s">
        <v>8</v>
      </c>
      <c r="F6" s="74" t="s">
        <v>9</v>
      </c>
      <c r="G6" s="74" t="s">
        <v>10</v>
      </c>
      <c r="H6" s="74" t="s">
        <v>11</v>
      </c>
      <c r="I6" s="74" t="s">
        <v>12</v>
      </c>
      <c r="J6" s="787"/>
      <c r="K6" s="788"/>
    </row>
    <row r="7" spans="1:12">
      <c r="A7" s="784"/>
      <c r="B7" s="789" t="s">
        <v>316</v>
      </c>
      <c r="C7" s="784" t="s">
        <v>14</v>
      </c>
      <c r="D7" s="73" t="s">
        <v>8</v>
      </c>
      <c r="E7" s="75">
        <f>E8+E9+E10+E11+E12+E13+E14</f>
        <v>6565627.3499999996</v>
      </c>
      <c r="F7" s="75">
        <f>F8+F9+F10+F11+F12+F13+F14</f>
        <v>5607967.8499999996</v>
      </c>
      <c r="G7" s="75">
        <f>G8+G9+G10+G11+G12+G13+G14</f>
        <v>563694.10000000009</v>
      </c>
      <c r="H7" s="75">
        <f>H8+H9+H10+H11+H12+H13+H14</f>
        <v>324944.40000000002</v>
      </c>
      <c r="I7" s="75">
        <f>I8+I9+I10+I11+I12+I13+I14</f>
        <v>69021</v>
      </c>
      <c r="J7" s="786"/>
      <c r="K7" s="786" t="s">
        <v>317</v>
      </c>
    </row>
    <row r="8" spans="1:12">
      <c r="A8" s="784"/>
      <c r="B8" s="789"/>
      <c r="C8" s="784"/>
      <c r="D8" s="73">
        <v>2014</v>
      </c>
      <c r="E8" s="75">
        <f t="shared" ref="E8:E14" si="0">F8+G8+H8+I8</f>
        <v>973077.3</v>
      </c>
      <c r="F8" s="75">
        <f>'[2]Пр14. План'!$F$6</f>
        <v>870639.50000000012</v>
      </c>
      <c r="G8" s="75">
        <f>'[2]Пр14. План'!$G$6</f>
        <v>95764.2</v>
      </c>
      <c r="H8" s="75">
        <f>'[2]Пр14. План'!$H$6</f>
        <v>1752.6</v>
      </c>
      <c r="I8" s="75">
        <f>I88</f>
        <v>4921</v>
      </c>
      <c r="J8" s="787"/>
      <c r="K8" s="787"/>
    </row>
    <row r="9" spans="1:12">
      <c r="A9" s="784"/>
      <c r="B9" s="789"/>
      <c r="C9" s="784"/>
      <c r="D9" s="73">
        <v>2015</v>
      </c>
      <c r="E9" s="75">
        <f t="shared" si="0"/>
        <v>774698.8</v>
      </c>
      <c r="F9" s="75">
        <f>'[3]план 15-17'!F6</f>
        <v>621446.20000000007</v>
      </c>
      <c r="G9" s="75">
        <f>'[3]план 15-17'!G6</f>
        <v>150332</v>
      </c>
      <c r="H9" s="75">
        <f>'[3]план 15-17'!H6</f>
        <v>2920.6</v>
      </c>
      <c r="I9" s="75">
        <f>'[3]план 15-17'!I6</f>
        <v>0</v>
      </c>
      <c r="J9" s="787"/>
      <c r="K9" s="787"/>
    </row>
    <row r="10" spans="1:12">
      <c r="A10" s="784"/>
      <c r="B10" s="789"/>
      <c r="C10" s="784"/>
      <c r="D10" s="73">
        <v>2016</v>
      </c>
      <c r="E10" s="75">
        <f t="shared" si="0"/>
        <v>596162.69999999995</v>
      </c>
      <c r="F10" s="75">
        <f>'[4]8 План18-20-2'!F6</f>
        <v>528911.6</v>
      </c>
      <c r="G10" s="75">
        <f>'[4]8 План18-20-2'!G6</f>
        <v>25501.9</v>
      </c>
      <c r="H10" s="75">
        <f>'[4]8 План18-20-2'!H6</f>
        <v>20949.2</v>
      </c>
      <c r="I10" s="75">
        <f>'[4]8 План18-20-2'!I6</f>
        <v>20800</v>
      </c>
      <c r="J10" s="787"/>
      <c r="K10" s="787"/>
    </row>
    <row r="11" spans="1:12">
      <c r="A11" s="784"/>
      <c r="B11" s="789"/>
      <c r="C11" s="784"/>
      <c r="D11" s="73">
        <v>2017</v>
      </c>
      <c r="E11" s="75">
        <f t="shared" si="0"/>
        <v>741436.5</v>
      </c>
      <c r="F11" s="75">
        <f>'[4]8 План18-20-2'!F7</f>
        <v>622094.69999999995</v>
      </c>
      <c r="G11" s="75">
        <f>'[4]8 План18-20-2'!G7</f>
        <v>37021</v>
      </c>
      <c r="H11" s="75">
        <f>'[4]8 План18-20-2'!H7</f>
        <v>67320.800000000003</v>
      </c>
      <c r="I11" s="75">
        <f>'[4]8 План18-20-2'!I7</f>
        <v>15000</v>
      </c>
      <c r="J11" s="787"/>
      <c r="K11" s="787"/>
    </row>
    <row r="12" spans="1:12">
      <c r="A12" s="784"/>
      <c r="B12" s="789"/>
      <c r="C12" s="784"/>
      <c r="D12" s="73">
        <v>2018</v>
      </c>
      <c r="E12" s="75">
        <f t="shared" si="0"/>
        <v>1097676.6499999999</v>
      </c>
      <c r="F12" s="75">
        <f>'[4]8 План18-20-2'!F8</f>
        <v>1011644.85</v>
      </c>
      <c r="G12" s="75">
        <f>'[4]8 План18-20-2'!G8</f>
        <v>32132.199999999997</v>
      </c>
      <c r="H12" s="75">
        <f>'[4]8 План18-20-2'!H8</f>
        <v>53899.6</v>
      </c>
      <c r="I12" s="75">
        <f>'[4]8 План18-20-2'!I8</f>
        <v>0</v>
      </c>
      <c r="J12" s="787"/>
      <c r="K12" s="787"/>
    </row>
    <row r="13" spans="1:12">
      <c r="A13" s="784"/>
      <c r="B13" s="789"/>
      <c r="C13" s="784"/>
      <c r="D13" s="73">
        <v>2019</v>
      </c>
      <c r="E13" s="75">
        <f t="shared" si="0"/>
        <v>1383260.5</v>
      </c>
      <c r="F13" s="75">
        <f>'[4]8 План18-20-2'!F9</f>
        <v>1128676.5</v>
      </c>
      <c r="G13" s="75">
        <f>'[4]8 План18-20-2'!G9</f>
        <v>111471.4</v>
      </c>
      <c r="H13" s="75">
        <f>'[4]8 План18-20-2'!H9</f>
        <v>114812.6</v>
      </c>
      <c r="I13" s="75">
        <f>'[4]8 План18-20-2'!I9</f>
        <v>28300</v>
      </c>
      <c r="J13" s="787"/>
      <c r="K13" s="787"/>
    </row>
    <row r="14" spans="1:12">
      <c r="A14" s="784"/>
      <c r="B14" s="789"/>
      <c r="C14" s="784"/>
      <c r="D14" s="73">
        <v>2020</v>
      </c>
      <c r="E14" s="75">
        <f t="shared" si="0"/>
        <v>999314.9</v>
      </c>
      <c r="F14" s="75">
        <f>F38+F62+F94+F126</f>
        <v>824554.5</v>
      </c>
      <c r="G14" s="75">
        <f>G38+G62+G94+G126</f>
        <v>111471.4</v>
      </c>
      <c r="H14" s="75">
        <f>H38+H62+H94+H126</f>
        <v>63289</v>
      </c>
      <c r="I14" s="75">
        <f>I38+I62+I94+I126</f>
        <v>0</v>
      </c>
      <c r="J14" s="787"/>
      <c r="K14" s="787"/>
    </row>
    <row r="15" spans="1:12">
      <c r="A15" s="784"/>
      <c r="B15" s="789" t="s">
        <v>149</v>
      </c>
      <c r="C15" s="784"/>
      <c r="D15" s="73" t="s">
        <v>8</v>
      </c>
      <c r="E15" s="75">
        <f>E16+E17+E18+E19+E20+E21+E22</f>
        <v>3802749.4</v>
      </c>
      <c r="F15" s="75">
        <f>F16+F17+F18+F19+F20+F21+F22</f>
        <v>3663819.3000000003</v>
      </c>
      <c r="G15" s="75">
        <f>G16+G17+G18+G19+G20+G21+G22</f>
        <v>135751.29999999999</v>
      </c>
      <c r="H15" s="75">
        <f>H16+H17+H18+H19+H20+H21+H22</f>
        <v>3178.7999999999997</v>
      </c>
      <c r="I15" s="75">
        <f>I16+I17+I18+I19+I20+I21+I22</f>
        <v>0</v>
      </c>
      <c r="J15" s="786"/>
      <c r="K15" s="786" t="s">
        <v>318</v>
      </c>
    </row>
    <row r="16" spans="1:12">
      <c r="A16" s="784"/>
      <c r="B16" s="789"/>
      <c r="C16" s="784"/>
      <c r="D16" s="73">
        <v>2014</v>
      </c>
      <c r="E16" s="75">
        <f>F16+G16+H16+I16</f>
        <v>434216.20000000007</v>
      </c>
      <c r="F16" s="75">
        <f>'[5]Пр14. План'!$F$14+'[5]Пр14. План'!$F$110+'[5]Пр14. План'!$F$694+'[5]Пр14. План'!$F$801+'[5]Пр14. План'!$F$825+'[5]Пр14. План'!$F$833+'[5]Пр14. План'!$F$841+'[5]Пр14. План'!$F$849+'[5]Пр14. План'!$F$857+'[5]Пр14. План'!$F$865+'[5]Пр14. План'!$F$889</f>
        <v>418452.00000000006</v>
      </c>
      <c r="G16" s="75">
        <f>'[5]Пр14. План'!$G$14+'[5]Пр14. План'!$G$110+'[5]Пр14. План'!$G$817</f>
        <v>15764.2</v>
      </c>
      <c r="H16" s="75">
        <v>0</v>
      </c>
      <c r="I16" s="75">
        <v>0</v>
      </c>
      <c r="J16" s="787"/>
      <c r="K16" s="787"/>
    </row>
    <row r="17" spans="1:11">
      <c r="A17" s="784"/>
      <c r="B17" s="789"/>
      <c r="C17" s="784"/>
      <c r="D17" s="73">
        <v>2015</v>
      </c>
      <c r="E17" s="75">
        <f>E33+E57+E121+'[3]план 15-17'!E314+'[3]план 15-17'!E342+'[3]план 15-17'!E354+'[3]план 15-17'!E358+'[3]план 15-17'!E362+'[3]план 15-17'!E370+'[3]план 15-17'!E374</f>
        <v>397351.69999999995</v>
      </c>
      <c r="F17" s="75">
        <f>'[3]план 15-17'!$F$10+'[3]план 15-17'!$F$54+'[3]план 15-17'!$F$314+'[3]план 15-17'!$F$342+'[3]план 15-17'!$F$354+'[3]план 15-17'!$F$358+'[3]план 15-17'!$F$362+'[3]план 15-17'!$F$370+'[3]план 15-17'!$F$374+'[3]план 15-17'!$F$378</f>
        <v>372019.7</v>
      </c>
      <c r="G17" s="75">
        <f>G33+G57+G121+'[3]план 15-17'!G314+'[3]план 15-17'!G342+'[3]план 15-17'!G354+'[3]план 15-17'!G358+'[3]план 15-17'!G362+'[3]план 15-17'!G370+'[3]план 15-17'!G374</f>
        <v>25332</v>
      </c>
      <c r="H17" s="75">
        <f>H33+H57+H121+'[3]план 15-17'!H314+'[3]план 15-17'!H342+'[3]план 15-17'!H354+'[3]план 15-17'!H358+'[3]план 15-17'!H362+'[3]план 15-17'!H370+'[3]план 15-17'!H374</f>
        <v>0</v>
      </c>
      <c r="I17" s="75">
        <f>I33+I57+I121+'[3]план 15-17'!I314+'[3]план 15-17'!I342+'[3]план 15-17'!I354+'[3]план 15-17'!I358+'[3]план 15-17'!I362+'[3]план 15-17'!I370+'[3]план 15-17'!I374</f>
        <v>0</v>
      </c>
      <c r="J17" s="787"/>
      <c r="K17" s="787"/>
    </row>
    <row r="18" spans="1:11">
      <c r="A18" s="784"/>
      <c r="B18" s="789"/>
      <c r="C18" s="784"/>
      <c r="D18" s="73">
        <v>2016</v>
      </c>
      <c r="E18" s="75">
        <f>'[4]8 План18-20-2'!E12+'[4]8 План18-20-2'!E84+'[4]8 План18-20-2'!E234+'[4]8 План18-20-2'!E306+'[4]8 План18-20-2'!E318+'[4]8 План18-20-2'!E324+'[4]8 План18-20-2'!E330+'[4]8 План18-20-2'!E342+'[4]8 План18-20-2'!E348+'[4]8 План18-20-2'!E354+'[4]8 План18-20-2'!E366+'[4]8 План18-20-2'!E372+'[4]8 План18-20-2'!E384+'[4]8 План18-20-2'!E426</f>
        <v>473180.8</v>
      </c>
      <c r="F18" s="75">
        <f>'[4]8 План18-20-2'!F12+'[4]8 План18-20-2'!F84+'[4]8 План18-20-2'!F234+'[4]8 План18-20-2'!F306+'[4]8 План18-20-2'!F318+'[4]8 План18-20-2'!F324+'[4]8 План18-20-2'!F330+'[4]8 План18-20-2'!F342+'[4]8 План18-20-2'!F348+'[4]8 План18-20-2'!F354+'[4]8 План18-20-2'!F366+'[4]8 План18-20-2'!F372+'[4]8 План18-20-2'!F384+'[4]8 План18-20-2'!F426</f>
        <v>446552.6</v>
      </c>
      <c r="G18" s="75">
        <f>'[4]8 План18-20-2'!G12+'[4]8 План18-20-2'!G84+'[4]8 План18-20-2'!G234+'[4]8 План18-20-2'!G306+'[4]8 План18-20-2'!G318+'[4]8 План18-20-2'!G324+'[4]8 План18-20-2'!G330+'[4]8 План18-20-2'!G342+'[4]8 План18-20-2'!G348+'[4]8 План18-20-2'!G354+'[4]8 План18-20-2'!G366+'[4]8 План18-20-2'!G372+'[4]8 План18-20-2'!G384+'[4]8 План18-20-2'!G426</f>
        <v>25501.9</v>
      </c>
      <c r="H18" s="75">
        <f>'[4]8 План18-20-2'!H12+'[4]8 План18-20-2'!H84+'[4]8 План18-20-2'!H234+'[4]8 План18-20-2'!H306+'[4]8 План18-20-2'!H318+'[4]8 План18-20-2'!H324+'[4]8 План18-20-2'!H330+'[4]8 План18-20-2'!H342+'[4]8 План18-20-2'!H348+'[4]8 План18-20-2'!H354+'[4]8 План18-20-2'!H366+'[4]8 План18-20-2'!H372+'[4]8 План18-20-2'!H384+'[4]8 План18-20-2'!H426</f>
        <v>1126.3</v>
      </c>
      <c r="I18" s="75">
        <f>'[4]8 План18-20-2'!I12+'[4]8 План18-20-2'!I84+'[4]8 План18-20-2'!I234+'[4]8 План18-20-2'!I306+'[4]8 План18-20-2'!I318+'[4]8 План18-20-2'!I324+'[4]8 План18-20-2'!I330+'[4]8 План18-20-2'!I342+'[4]8 План18-20-2'!I348+'[4]8 План18-20-2'!I354+'[4]8 План18-20-2'!I366+'[4]8 План18-20-2'!I372+'[4]8 План18-20-2'!I384+'[4]8 План18-20-2'!I426</f>
        <v>0</v>
      </c>
      <c r="J18" s="787"/>
      <c r="K18" s="787"/>
    </row>
    <row r="19" spans="1:11">
      <c r="A19" s="784"/>
      <c r="B19" s="789"/>
      <c r="C19" s="784"/>
      <c r="D19" s="73">
        <v>2017</v>
      </c>
      <c r="E19" s="75">
        <f>'[4]8 План18-20-2'!E13+'[4]8 План18-20-2'!E85+'[4]8 План18-20-2'!E235+'[4]8 План18-20-2'!E307+'[4]8 План18-20-2'!E319+'[4]8 План18-20-2'!E325+'[4]8 План18-20-2'!E331+'[4]8 План18-20-2'!E343+'[4]8 План18-20-2'!E349+'[4]8 План18-20-2'!E355+'[4]8 План18-20-2'!E367+'[4]8 План18-20-2'!E373+'[4]8 План18-20-2'!E385+'[4]8 План18-20-2'!E427</f>
        <v>561166.19999999995</v>
      </c>
      <c r="F19" s="75">
        <f>'[4]8 План18-20-2'!F13+'[4]8 План18-20-2'!F85+'[4]8 План18-20-2'!F235+'[4]8 План18-20-2'!F307+'[4]8 План18-20-2'!F319+'[4]8 План18-20-2'!F325+'[4]8 План18-20-2'!F331+'[4]8 План18-20-2'!F343+'[4]8 План18-20-2'!F349+'[4]8 План18-20-2'!F355+'[4]8 План18-20-2'!F367+'[4]8 План18-20-2'!F373+'[4]8 План18-20-2'!F385+'[4]8 План18-20-2'!F427</f>
        <v>522424.4</v>
      </c>
      <c r="G19" s="75">
        <f>'[4]8 План18-20-2'!G13+'[4]8 План18-20-2'!G85+'[4]8 План18-20-2'!G235+'[4]8 План18-20-2'!G307+'[4]8 План18-20-2'!G319+'[4]8 План18-20-2'!G325+'[4]8 План18-20-2'!G331+'[4]8 План18-20-2'!G343+'[4]8 План18-20-2'!G349+'[4]8 План18-20-2'!G355+'[4]8 План18-20-2'!G367+'[4]8 План18-20-2'!G373+'[4]8 План18-20-2'!G385+'[4]8 План18-20-2'!G427</f>
        <v>37021</v>
      </c>
      <c r="H19" s="75">
        <f>'[4]8 План18-20-2'!H13+'[4]8 План18-20-2'!H85+'[4]8 План18-20-2'!H235+'[4]8 План18-20-2'!H307+'[4]8 План18-20-2'!H319+'[4]8 План18-20-2'!H325+'[4]8 План18-20-2'!H331+'[4]8 План18-20-2'!H343+'[4]8 План18-20-2'!H349+'[4]8 План18-20-2'!H355+'[4]8 План18-20-2'!H367+'[4]8 План18-20-2'!H373+'[4]8 План18-20-2'!H385+'[4]8 План18-20-2'!H427</f>
        <v>1720.8</v>
      </c>
      <c r="I19" s="75">
        <f>'[4]8 План18-20-2'!I13+'[4]8 План18-20-2'!I85+'[4]8 План18-20-2'!I235+'[4]8 План18-20-2'!I307+'[4]8 План18-20-2'!I319+'[4]8 План18-20-2'!I325+'[4]8 План18-20-2'!I331+'[4]8 План18-20-2'!I343+'[4]8 План18-20-2'!I349+'[4]8 План18-20-2'!I355+'[4]8 План18-20-2'!I367+'[4]8 План18-20-2'!I373+'[4]8 План18-20-2'!I385+'[4]8 План18-20-2'!I427</f>
        <v>0</v>
      </c>
      <c r="J19" s="787"/>
      <c r="K19" s="787"/>
    </row>
    <row r="20" spans="1:11">
      <c r="A20" s="784"/>
      <c r="B20" s="789"/>
      <c r="C20" s="784"/>
      <c r="D20" s="73">
        <v>2018</v>
      </c>
      <c r="E20" s="75">
        <f>'[4]8 План18-20-2'!E14+'[4]8 План18-20-2'!E86+'[4]8 План18-20-2'!E236+'[4]8 План18-20-2'!E308+'[4]8 План18-20-2'!E320+'[4]8 План18-20-2'!E326+'[4]8 План18-20-2'!E332+'[4]8 План18-20-2'!E344+'[4]8 План18-20-2'!E350+'[4]8 План18-20-2'!E356+'[4]8 План18-20-2'!E368+'[4]8 План18-20-2'!E374+'[4]8 План18-20-2'!E386+'[4]8 План18-20-2'!E428</f>
        <v>689782.3</v>
      </c>
      <c r="F20" s="75">
        <f>'[4]8 План18-20-2'!F14+'[4]8 План18-20-2'!F86+'[4]8 План18-20-2'!F236+'[4]8 План18-20-2'!F308+'[4]8 План18-20-2'!F320+'[4]8 План18-20-2'!F326+'[4]8 План18-20-2'!F332+'[4]8 План18-20-2'!F344+'[4]8 План18-20-2'!F350+'[4]8 План18-20-2'!F356+'[4]8 План18-20-2'!F368+'[4]8 План18-20-2'!F374+'[4]8 План18-20-2'!F386+'[4]8 План18-20-2'!F428</f>
        <v>657318.39999999991</v>
      </c>
      <c r="G20" s="75">
        <f>'[4]8 План18-20-2'!G14+'[4]8 План18-20-2'!G86+'[4]8 План18-20-2'!G236+'[4]8 План18-20-2'!G308+'[4]8 План18-20-2'!G320+'[4]8 План18-20-2'!G326+'[4]8 План18-20-2'!G332+'[4]8 План18-20-2'!G344+'[4]8 План18-20-2'!G350+'[4]8 План18-20-2'!G356+'[4]8 План18-20-2'!G368+'[4]8 План18-20-2'!G374+'[4]8 План18-20-2'!G386+'[4]8 План18-20-2'!G428</f>
        <v>32132.199999999997</v>
      </c>
      <c r="H20" s="75">
        <f>'[4]8 План18-20-2'!H14+'[4]8 План18-20-2'!H86+'[4]8 План18-20-2'!H236+'[4]8 План18-20-2'!H308+'[4]8 План18-20-2'!H320+'[4]8 План18-20-2'!H326+'[4]8 План18-20-2'!H332+'[4]8 План18-20-2'!H344+'[4]8 План18-20-2'!H350+'[4]8 План18-20-2'!H356+'[4]8 План18-20-2'!H368+'[4]8 План18-20-2'!H374+'[4]8 План18-20-2'!H386+'[4]8 План18-20-2'!H428</f>
        <v>331.7</v>
      </c>
      <c r="I20" s="75">
        <f>'[4]8 План18-20-2'!I14+'[4]8 План18-20-2'!I86+'[4]8 План18-20-2'!I236+'[4]8 План18-20-2'!I308+'[4]8 План18-20-2'!I320+'[4]8 План18-20-2'!I326+'[4]8 План18-20-2'!I332+'[4]8 План18-20-2'!I344+'[4]8 План18-20-2'!I350+'[4]8 План18-20-2'!I356+'[4]8 План18-20-2'!I368+'[4]8 План18-20-2'!I374+'[4]8 План18-20-2'!I386+'[4]8 План18-20-2'!I428</f>
        <v>0</v>
      </c>
      <c r="J20" s="787"/>
      <c r="K20" s="787"/>
    </row>
    <row r="21" spans="1:11">
      <c r="A21" s="784"/>
      <c r="B21" s="789"/>
      <c r="C21" s="784"/>
      <c r="D21" s="73">
        <v>2019</v>
      </c>
      <c r="E21" s="75">
        <f>'[4]8 План18-20-2'!E15+'[4]8 План18-20-2'!E87+'[4]8 План18-20-2'!E237+'[4]8 План18-20-2'!E309+'[4]8 План18-20-2'!E321+'[4]8 План18-20-2'!E327+'[4]8 План18-20-2'!E333+'[4]8 План18-20-2'!E345+'[4]8 План18-20-2'!E351+'[4]8 План18-20-2'!E357+'[4]8 План18-20-2'!E369+'[4]8 План18-20-2'!E375+'[4]8 План18-20-2'!E387+'[4]8 План18-20-2'!E429</f>
        <v>617102.30000000005</v>
      </c>
      <c r="F21" s="75">
        <f>'[4]8 План18-20-2'!F15+'[4]8 План18-20-2'!F87+'[4]8 План18-20-2'!F237+'[4]8 План18-20-2'!F309+'[4]8 План18-20-2'!F321+'[4]8 План18-20-2'!F327+'[4]8 План18-20-2'!F333+'[4]8 План18-20-2'!F345+'[4]8 План18-20-2'!F351+'[4]8 План18-20-2'!F357+'[4]8 План18-20-2'!F369+'[4]8 План18-20-2'!F375+'[4]8 План18-20-2'!F387+'[4]8 План18-20-2'!F429</f>
        <v>617102.30000000005</v>
      </c>
      <c r="G21" s="75">
        <f>'[4]8 План18-20-2'!G15+'[4]8 План18-20-2'!G87+'[4]8 План18-20-2'!G237+'[4]8 План18-20-2'!G309+'[4]8 План18-20-2'!G321+'[4]8 План18-20-2'!G327+'[4]8 План18-20-2'!G333+'[4]8 План18-20-2'!G345+'[4]8 План18-20-2'!G351+'[4]8 План18-20-2'!G357+'[4]8 План18-20-2'!G369+'[4]8 План18-20-2'!G375+'[4]8 План18-20-2'!G387+'[4]8 План18-20-2'!G429</f>
        <v>0</v>
      </c>
      <c r="H21" s="75">
        <f>'[4]8 План18-20-2'!H15+'[4]8 План18-20-2'!H87+'[4]8 План18-20-2'!H237+'[4]8 План18-20-2'!H309+'[4]8 План18-20-2'!H321+'[4]8 План18-20-2'!H327+'[4]8 План18-20-2'!H333+'[4]8 План18-20-2'!H345+'[4]8 План18-20-2'!H351+'[4]8 План18-20-2'!H357+'[4]8 План18-20-2'!H369+'[4]8 План18-20-2'!H375+'[4]8 План18-20-2'!H387+'[4]8 План18-20-2'!H429</f>
        <v>0</v>
      </c>
      <c r="I21" s="75">
        <f>'[4]8 План18-20-2'!I15+'[4]8 План18-20-2'!I87+'[4]8 План18-20-2'!I237+'[4]8 План18-20-2'!I309+'[4]8 План18-20-2'!I321+'[4]8 План18-20-2'!I327+'[4]8 План18-20-2'!I333+'[4]8 План18-20-2'!I345+'[4]8 План18-20-2'!I351+'[4]8 План18-20-2'!I357+'[4]8 План18-20-2'!I369+'[4]8 План18-20-2'!I375+'[4]8 План18-20-2'!I387+'[4]8 План18-20-2'!I429</f>
        <v>0</v>
      </c>
      <c r="J21" s="787"/>
      <c r="K21" s="787"/>
    </row>
    <row r="22" spans="1:11">
      <c r="A22" s="784"/>
      <c r="B22" s="789"/>
      <c r="C22" s="784"/>
      <c r="D22" s="73">
        <v>2020</v>
      </c>
      <c r="E22" s="75">
        <f>'[4]8 План18-20-2'!E16+'[4]8 План18-20-2'!E88+'[4]8 План18-20-2'!E238+'[4]8 План18-20-2'!E310+'[4]8 План18-20-2'!E322+'[4]8 План18-20-2'!E328+'[4]8 План18-20-2'!E334+'[4]8 План18-20-2'!E346+'[4]8 План18-20-2'!E352+'[4]8 План18-20-2'!E358+'[4]8 План18-20-2'!E370+'[4]8 План18-20-2'!E376+'[4]8 План18-20-2'!E388+'[4]8 План18-20-2'!E430</f>
        <v>629949.9</v>
      </c>
      <c r="F22" s="75">
        <f>'[4]8 План18-20-2'!F16+'[4]8 План18-20-2'!F88+'[4]8 План18-20-2'!F238+'[4]8 План18-20-2'!F310+'[4]8 План18-20-2'!F322+'[4]8 План18-20-2'!F328+'[4]8 План18-20-2'!F334+'[4]8 План18-20-2'!F346+'[4]8 План18-20-2'!F352+'[4]8 План18-20-2'!F358+'[4]8 План18-20-2'!F370+'[4]8 План18-20-2'!F376+'[4]8 План18-20-2'!F388+'[4]8 План18-20-2'!F430</f>
        <v>629949.9</v>
      </c>
      <c r="G22" s="75">
        <f>'[4]8 План18-20-2'!G16+'[4]8 План18-20-2'!G88+'[4]8 План18-20-2'!G238+'[4]8 План18-20-2'!G310+'[4]8 План18-20-2'!G322+'[4]8 План18-20-2'!G328+'[4]8 План18-20-2'!G334+'[4]8 План18-20-2'!G346+'[4]8 План18-20-2'!G352+'[4]8 План18-20-2'!G358+'[4]8 План18-20-2'!G370+'[4]8 План18-20-2'!G376+'[4]8 План18-20-2'!G388+'[4]8 План18-20-2'!G430</f>
        <v>0</v>
      </c>
      <c r="H22" s="75">
        <f>'[4]8 План18-20-2'!H16+'[4]8 План18-20-2'!H88+'[4]8 План18-20-2'!H238+'[4]8 План18-20-2'!H310+'[4]8 План18-20-2'!H322+'[4]8 План18-20-2'!H328+'[4]8 План18-20-2'!H334+'[4]8 План18-20-2'!H346+'[4]8 План18-20-2'!H352+'[4]8 План18-20-2'!H358+'[4]8 План18-20-2'!H370+'[4]8 План18-20-2'!H376+'[4]8 План18-20-2'!H388+'[4]8 План18-20-2'!H430</f>
        <v>0</v>
      </c>
      <c r="I22" s="75">
        <f>'[4]8 План18-20-2'!I16+'[4]8 План18-20-2'!I88+'[4]8 План18-20-2'!I238+'[4]8 План18-20-2'!I310+'[4]8 План18-20-2'!I322+'[4]8 План18-20-2'!I328+'[4]8 План18-20-2'!I334+'[4]8 План18-20-2'!I346+'[4]8 План18-20-2'!I352+'[4]8 План18-20-2'!I358+'[4]8 План18-20-2'!I370+'[4]8 План18-20-2'!I376+'[4]8 План18-20-2'!I388+'[4]8 План18-20-2'!I430</f>
        <v>0</v>
      </c>
      <c r="J22" s="787"/>
      <c r="K22" s="787"/>
    </row>
    <row r="23" spans="1:11">
      <c r="A23" s="784"/>
      <c r="B23" s="789" t="s">
        <v>319</v>
      </c>
      <c r="C23" s="784"/>
      <c r="D23" s="73" t="s">
        <v>8</v>
      </c>
      <c r="E23" s="75">
        <f>E24+E25+E26+E27+E28+E29+E30</f>
        <v>2762877.95</v>
      </c>
      <c r="F23" s="75">
        <f>F24+F25+F26+F27+F28+F29+F30</f>
        <v>1944148.5499999998</v>
      </c>
      <c r="G23" s="75">
        <f>G24+G25+G26+G27+G28+G29+G30</f>
        <v>427942.80000000005</v>
      </c>
      <c r="H23" s="75">
        <f>H24+H25+H26+H27+H28+H29+H30</f>
        <v>321765.59999999998</v>
      </c>
      <c r="I23" s="75">
        <f>I24+I25+I26+I27+I28+I29+I30</f>
        <v>69021</v>
      </c>
      <c r="J23" s="786"/>
      <c r="K23" s="786" t="s">
        <v>320</v>
      </c>
    </row>
    <row r="24" spans="1:11">
      <c r="A24" s="784"/>
      <c r="B24" s="789"/>
      <c r="C24" s="784"/>
      <c r="D24" s="73">
        <v>2014</v>
      </c>
      <c r="E24" s="75">
        <f>E8-E16</f>
        <v>538861.1</v>
      </c>
      <c r="F24" s="75">
        <f>F8-F16</f>
        <v>452187.50000000006</v>
      </c>
      <c r="G24" s="75">
        <f>G8-G16</f>
        <v>80000</v>
      </c>
      <c r="H24" s="75">
        <f>H8-H16</f>
        <v>1752.6</v>
      </c>
      <c r="I24" s="75">
        <f>I8-I16</f>
        <v>4921</v>
      </c>
      <c r="J24" s="787"/>
      <c r="K24" s="787"/>
    </row>
    <row r="25" spans="1:11">
      <c r="A25" s="784"/>
      <c r="B25" s="789"/>
      <c r="C25" s="784"/>
      <c r="D25" s="73">
        <v>2015</v>
      </c>
      <c r="E25" s="75">
        <f t="shared" ref="E25:I30" si="1">E9-E17</f>
        <v>377347.10000000009</v>
      </c>
      <c r="F25" s="75">
        <f>'[3]план 15-17'!$F$298+'[3]план 15-17'!$F$302+'[3]план 15-17'!$F$306+'[3]план 15-17'!$F$310+'[3]план 15-17'!$F$318+'[3]план 15-17'!$F$322+'[3]план 15-17'!$F$326+'[3]план 15-17'!$F$330+'[3]план 15-17'!$F$346+'[3]план 15-17'!$F$350+'[3]план 15-17'!$F$366</f>
        <v>249426.5</v>
      </c>
      <c r="G25" s="75">
        <f>G9-G17</f>
        <v>125000</v>
      </c>
      <c r="H25" s="75">
        <f>H9-H17</f>
        <v>2920.6</v>
      </c>
      <c r="I25" s="75">
        <f>I9-I17</f>
        <v>0</v>
      </c>
      <c r="J25" s="787"/>
      <c r="K25" s="787"/>
    </row>
    <row r="26" spans="1:11">
      <c r="A26" s="784"/>
      <c r="B26" s="789"/>
      <c r="C26" s="784"/>
      <c r="D26" s="73">
        <v>2016</v>
      </c>
      <c r="E26" s="75">
        <f t="shared" si="1"/>
        <v>122981.89999999997</v>
      </c>
      <c r="F26" s="75">
        <f t="shared" si="1"/>
        <v>82359</v>
      </c>
      <c r="G26" s="75">
        <f t="shared" si="1"/>
        <v>0</v>
      </c>
      <c r="H26" s="75">
        <f t="shared" si="1"/>
        <v>19822.900000000001</v>
      </c>
      <c r="I26" s="75">
        <f t="shared" si="1"/>
        <v>20800</v>
      </c>
      <c r="J26" s="787"/>
      <c r="K26" s="787"/>
    </row>
    <row r="27" spans="1:11">
      <c r="A27" s="784"/>
      <c r="B27" s="789"/>
      <c r="C27" s="784"/>
      <c r="D27" s="73">
        <v>2017</v>
      </c>
      <c r="E27" s="75">
        <f t="shared" si="1"/>
        <v>180270.30000000005</v>
      </c>
      <c r="F27" s="75">
        <f t="shared" si="1"/>
        <v>99670.29999999993</v>
      </c>
      <c r="G27" s="75">
        <f t="shared" si="1"/>
        <v>0</v>
      </c>
      <c r="H27" s="75">
        <f t="shared" si="1"/>
        <v>65600</v>
      </c>
      <c r="I27" s="75">
        <f t="shared" si="1"/>
        <v>15000</v>
      </c>
      <c r="J27" s="787"/>
      <c r="K27" s="787"/>
    </row>
    <row r="28" spans="1:11">
      <c r="A28" s="784"/>
      <c r="B28" s="789"/>
      <c r="C28" s="784"/>
      <c r="D28" s="73">
        <v>2018</v>
      </c>
      <c r="E28" s="75">
        <f t="shared" si="1"/>
        <v>407894.34999999986</v>
      </c>
      <c r="F28" s="75">
        <f t="shared" si="1"/>
        <v>354326.45000000007</v>
      </c>
      <c r="G28" s="75">
        <f t="shared" si="1"/>
        <v>0</v>
      </c>
      <c r="H28" s="75">
        <f t="shared" si="1"/>
        <v>53567.9</v>
      </c>
      <c r="I28" s="75">
        <f t="shared" si="1"/>
        <v>0</v>
      </c>
      <c r="J28" s="787"/>
      <c r="K28" s="787"/>
    </row>
    <row r="29" spans="1:11">
      <c r="A29" s="784"/>
      <c r="B29" s="789"/>
      <c r="C29" s="784"/>
      <c r="D29" s="73">
        <v>2019</v>
      </c>
      <c r="E29" s="75">
        <f t="shared" si="1"/>
        <v>766158.2</v>
      </c>
      <c r="F29" s="75">
        <f t="shared" si="1"/>
        <v>511574.19999999995</v>
      </c>
      <c r="G29" s="75">
        <f t="shared" si="1"/>
        <v>111471.4</v>
      </c>
      <c r="H29" s="75">
        <f t="shared" si="1"/>
        <v>114812.6</v>
      </c>
      <c r="I29" s="75">
        <f t="shared" si="1"/>
        <v>28300</v>
      </c>
      <c r="J29" s="787"/>
      <c r="K29" s="787"/>
    </row>
    <row r="30" spans="1:11">
      <c r="A30" s="784"/>
      <c r="B30" s="789"/>
      <c r="C30" s="784"/>
      <c r="D30" s="73">
        <v>2020</v>
      </c>
      <c r="E30" s="75">
        <f t="shared" si="1"/>
        <v>369365</v>
      </c>
      <c r="F30" s="75">
        <f t="shared" si="1"/>
        <v>194604.59999999998</v>
      </c>
      <c r="G30" s="75">
        <f t="shared" si="1"/>
        <v>111471.4</v>
      </c>
      <c r="H30" s="75">
        <f t="shared" si="1"/>
        <v>63289</v>
      </c>
      <c r="I30" s="75">
        <f t="shared" si="1"/>
        <v>0</v>
      </c>
      <c r="J30" s="787"/>
      <c r="K30" s="787"/>
    </row>
    <row r="31" spans="1:11">
      <c r="A31" s="784">
        <v>1</v>
      </c>
      <c r="B31" s="790" t="s">
        <v>17</v>
      </c>
      <c r="C31" s="784" t="s">
        <v>14</v>
      </c>
      <c r="D31" s="73" t="s">
        <v>8</v>
      </c>
      <c r="E31" s="75">
        <f>E32+E33+E34+E35+E36+E37+E38</f>
        <v>268463.90000000002</v>
      </c>
      <c r="F31" s="75">
        <f>F32+F33+F34+F35+F36+F37+F38</f>
        <v>224093.19999999998</v>
      </c>
      <c r="G31" s="75">
        <f>G32+G33+G34+G35+G36+G37+G38</f>
        <v>44370.7</v>
      </c>
      <c r="H31" s="75">
        <f>H32+H33+H34+H35+H36+H37+H38</f>
        <v>0</v>
      </c>
      <c r="I31" s="75">
        <f>I32+I33+I34+I35+I36+I37+I38</f>
        <v>0</v>
      </c>
      <c r="J31" s="786"/>
      <c r="K31" s="786" t="s">
        <v>321</v>
      </c>
    </row>
    <row r="32" spans="1:11">
      <c r="A32" s="784"/>
      <c r="B32" s="790"/>
      <c r="C32" s="784"/>
      <c r="D32" s="73">
        <v>2014</v>
      </c>
      <c r="E32" s="75">
        <f>'[2]Пр14. План'!$E$14</f>
        <v>20666.400000000001</v>
      </c>
      <c r="F32" s="75">
        <f>'[2]Пр14. План'!$F$14</f>
        <v>20666.400000000001</v>
      </c>
      <c r="G32" s="75">
        <f>'[2]Пр14. План'!$G$14</f>
        <v>0</v>
      </c>
      <c r="H32" s="75">
        <f>'[2]Пр14. План'!$H$14</f>
        <v>0</v>
      </c>
      <c r="I32" s="75">
        <f>'[2]Пр14. План'!$I$14</f>
        <v>0</v>
      </c>
      <c r="J32" s="787"/>
      <c r="K32" s="787"/>
    </row>
    <row r="33" spans="1:11">
      <c r="A33" s="784"/>
      <c r="B33" s="790"/>
      <c r="C33" s="784"/>
      <c r="D33" s="73">
        <v>2015</v>
      </c>
      <c r="E33" s="75">
        <f>'[3]план 15-17'!E10</f>
        <v>15058.3</v>
      </c>
      <c r="F33" s="75">
        <f>'[3]план 15-17'!F10</f>
        <v>13143.399999999998</v>
      </c>
      <c r="G33" s="75">
        <f>'[3]план 15-17'!G10</f>
        <v>1914.9</v>
      </c>
      <c r="H33" s="75">
        <f>'[3]план 15-17'!H10</f>
        <v>0</v>
      </c>
      <c r="I33" s="75">
        <f>'[3]план 15-17'!I10</f>
        <v>0</v>
      </c>
      <c r="J33" s="787"/>
      <c r="K33" s="787"/>
    </row>
    <row r="34" spans="1:11">
      <c r="A34" s="784"/>
      <c r="B34" s="790"/>
      <c r="C34" s="784"/>
      <c r="D34" s="73">
        <v>2016</v>
      </c>
      <c r="E34" s="75">
        <f>F34+G34+H34+I34</f>
        <v>20057.099999999999</v>
      </c>
      <c r="F34" s="75">
        <f>'[4]8 План18-20-2'!F12</f>
        <v>12120.599999999999</v>
      </c>
      <c r="G34" s="75">
        <f>'[4]8 План18-20-2'!G12</f>
        <v>7936.5</v>
      </c>
      <c r="H34" s="75">
        <f>'[4]8 План18-20-2'!H12</f>
        <v>0</v>
      </c>
      <c r="I34" s="75">
        <f>'[4]8 План18-20-2'!I12</f>
        <v>0</v>
      </c>
      <c r="J34" s="787"/>
      <c r="K34" s="787"/>
    </row>
    <row r="35" spans="1:11">
      <c r="A35" s="784"/>
      <c r="B35" s="790"/>
      <c r="C35" s="784"/>
      <c r="D35" s="73">
        <v>2017</v>
      </c>
      <c r="E35" s="75">
        <f>F35+G35+H35+I35</f>
        <v>29900.6</v>
      </c>
      <c r="F35" s="75">
        <f>'[4]8 План18-20-2'!F13</f>
        <v>12200.599999999999</v>
      </c>
      <c r="G35" s="75">
        <f>'[4]8 План18-20-2'!G13</f>
        <v>17700</v>
      </c>
      <c r="H35" s="75">
        <f>'[4]8 План18-20-2'!H13</f>
        <v>0</v>
      </c>
      <c r="I35" s="75">
        <f>'[4]8 План18-20-2'!I13</f>
        <v>0</v>
      </c>
      <c r="J35" s="787"/>
      <c r="K35" s="787"/>
    </row>
    <row r="36" spans="1:11">
      <c r="A36" s="784"/>
      <c r="B36" s="790"/>
      <c r="C36" s="784"/>
      <c r="D36" s="73">
        <v>2018</v>
      </c>
      <c r="E36" s="75">
        <f>F36+G36+H36+I36</f>
        <v>79841.8</v>
      </c>
      <c r="F36" s="75">
        <f>'[4]8 План18-20-2'!F14</f>
        <v>63022.5</v>
      </c>
      <c r="G36" s="75">
        <f>'[4]8 План18-20-2'!G14</f>
        <v>16819.3</v>
      </c>
      <c r="H36" s="75">
        <f>'[4]8 План18-20-2'!H14</f>
        <v>0</v>
      </c>
      <c r="I36" s="75">
        <f>'[4]8 План18-20-2'!I14</f>
        <v>0</v>
      </c>
      <c r="J36" s="787"/>
      <c r="K36" s="787"/>
    </row>
    <row r="37" spans="1:11">
      <c r="A37" s="784"/>
      <c r="B37" s="790"/>
      <c r="C37" s="784"/>
      <c r="D37" s="73">
        <v>2019</v>
      </c>
      <c r="E37" s="75">
        <f>F37+G37+H37+I37</f>
        <v>51190.8</v>
      </c>
      <c r="F37" s="75">
        <f>'[4]8 План18-20-2'!F15</f>
        <v>51190.8</v>
      </c>
      <c r="G37" s="75">
        <f>'[4]8 План18-20-2'!G15</f>
        <v>0</v>
      </c>
      <c r="H37" s="75">
        <f>'[4]8 План18-20-2'!H15</f>
        <v>0</v>
      </c>
      <c r="I37" s="75">
        <f>'[4]8 План18-20-2'!I15</f>
        <v>0</v>
      </c>
      <c r="J37" s="787"/>
      <c r="K37" s="787"/>
    </row>
    <row r="38" spans="1:11">
      <c r="A38" s="784"/>
      <c r="B38" s="790"/>
      <c r="C38" s="784"/>
      <c r="D38" s="73">
        <v>2020</v>
      </c>
      <c r="E38" s="75">
        <f>F38+G38+H38+I38</f>
        <v>51748.9</v>
      </c>
      <c r="F38" s="75">
        <f>'[4]8 План18-20-2'!F16</f>
        <v>51748.9</v>
      </c>
      <c r="G38" s="75">
        <f>'[2]Пр14. План'!$G$20</f>
        <v>0</v>
      </c>
      <c r="H38" s="75">
        <f>'[2]Пр14. План'!$H$20</f>
        <v>0</v>
      </c>
      <c r="I38" s="75">
        <f>'[2]Пр14. План'!$I$20</f>
        <v>0</v>
      </c>
      <c r="J38" s="787"/>
      <c r="K38" s="787"/>
    </row>
    <row r="39" spans="1:11" ht="15" customHeight="1">
      <c r="A39" s="791" t="s">
        <v>173</v>
      </c>
      <c r="B39" s="794" t="s">
        <v>20</v>
      </c>
      <c r="C39" s="791" t="s">
        <v>14</v>
      </c>
      <c r="D39" s="73" t="s">
        <v>8</v>
      </c>
      <c r="E39" s="75">
        <f>E40+E41+E42+E43+E44+E45+E46</f>
        <v>213536.2</v>
      </c>
      <c r="F39" s="75">
        <f>F40+F41+F42+F43+F44+F45+F46</f>
        <v>172039.90000000002</v>
      </c>
      <c r="G39" s="75">
        <f>G40+G41+G42+G43+G44+G45+G46</f>
        <v>41496.300000000003</v>
      </c>
      <c r="H39" s="75">
        <f>H40+H41+H42+H43+H44+H45+H46</f>
        <v>0</v>
      </c>
      <c r="I39" s="75">
        <f>I40+I41+I42+I43+I44+I45+I46</f>
        <v>0</v>
      </c>
      <c r="J39" s="786" t="s">
        <v>322</v>
      </c>
      <c r="K39" s="786" t="s">
        <v>321</v>
      </c>
    </row>
    <row r="40" spans="1:11">
      <c r="A40" s="792"/>
      <c r="B40" s="795"/>
      <c r="C40" s="792"/>
      <c r="D40" s="73">
        <v>2014</v>
      </c>
      <c r="E40" s="75">
        <f t="shared" ref="E40:E46" si="2">F40+G40+H40+I40</f>
        <v>18951.900000000001</v>
      </c>
      <c r="F40" s="75">
        <f>'[2]Пр14. План'!$F$30</f>
        <v>18951.900000000001</v>
      </c>
      <c r="G40" s="75">
        <f>'[2]Пр14. План'!$G$30</f>
        <v>0</v>
      </c>
      <c r="H40" s="75">
        <f>'[2]Пр14. План'!$H$30</f>
        <v>0</v>
      </c>
      <c r="I40" s="75">
        <f>'[2]Пр14. План'!$I$30</f>
        <v>0</v>
      </c>
      <c r="J40" s="787"/>
      <c r="K40" s="787"/>
    </row>
    <row r="41" spans="1:11">
      <c r="A41" s="792"/>
      <c r="B41" s="795"/>
      <c r="C41" s="792"/>
      <c r="D41" s="73">
        <v>2015</v>
      </c>
      <c r="E41" s="75">
        <f t="shared" si="2"/>
        <v>3145.7</v>
      </c>
      <c r="F41" s="75">
        <f>'[3]план 15-17'!F30</f>
        <v>3145.7</v>
      </c>
      <c r="G41" s="75">
        <f>'[3]план 15-17'!G30</f>
        <v>0</v>
      </c>
      <c r="H41" s="75">
        <f>'[3]план 15-17'!H30</f>
        <v>0</v>
      </c>
      <c r="I41" s="75">
        <f>'[3]план 15-17'!I30</f>
        <v>0</v>
      </c>
      <c r="J41" s="787"/>
      <c r="K41" s="787"/>
    </row>
    <row r="42" spans="1:11">
      <c r="A42" s="792"/>
      <c r="B42" s="795"/>
      <c r="C42" s="792"/>
      <c r="D42" s="73">
        <v>2016</v>
      </c>
      <c r="E42" s="75">
        <f t="shared" si="2"/>
        <v>15841.4</v>
      </c>
      <c r="F42" s="75">
        <f>'[4]8 План18-20-2'!F18</f>
        <v>8864.4</v>
      </c>
      <c r="G42" s="75">
        <f>'[4]8 План18-20-2'!G18</f>
        <v>6977</v>
      </c>
      <c r="H42" s="75">
        <f>'[4]8 План18-20-2'!H18</f>
        <v>0</v>
      </c>
      <c r="I42" s="75">
        <f>'[4]8 План18-20-2'!I18</f>
        <v>0</v>
      </c>
      <c r="J42" s="787"/>
      <c r="K42" s="787"/>
    </row>
    <row r="43" spans="1:11">
      <c r="A43" s="792"/>
      <c r="B43" s="795"/>
      <c r="C43" s="792"/>
      <c r="D43" s="73">
        <v>2017</v>
      </c>
      <c r="E43" s="75">
        <f>F43+G43+H43+I43</f>
        <v>27734.400000000001</v>
      </c>
      <c r="F43" s="75">
        <f>'[4]8 План18-20-2'!F19</f>
        <v>10034.4</v>
      </c>
      <c r="G43" s="75">
        <f>'[4]8 План18-20-2'!G19</f>
        <v>17700</v>
      </c>
      <c r="H43" s="75">
        <f>'[4]8 План18-20-2'!H19</f>
        <v>0</v>
      </c>
      <c r="I43" s="75">
        <f>'[4]8 План18-20-2'!I19</f>
        <v>0</v>
      </c>
      <c r="J43" s="787"/>
      <c r="K43" s="787"/>
    </row>
    <row r="44" spans="1:11">
      <c r="A44" s="792"/>
      <c r="B44" s="795"/>
      <c r="C44" s="792"/>
      <c r="D44" s="73">
        <v>2018</v>
      </c>
      <c r="E44" s="75">
        <f>F44+G44+H44+I44</f>
        <v>68523.399999999994</v>
      </c>
      <c r="F44" s="75">
        <f>'[4]8 План18-20-2'!F20</f>
        <v>51704.1</v>
      </c>
      <c r="G44" s="75">
        <f>'[4]8 План18-20-2'!G20</f>
        <v>16819.3</v>
      </c>
      <c r="H44" s="75">
        <f>'[4]8 План18-20-2'!H20</f>
        <v>0</v>
      </c>
      <c r="I44" s="75">
        <f>'[4]8 План18-20-2'!I20</f>
        <v>0</v>
      </c>
      <c r="J44" s="787"/>
      <c r="K44" s="787"/>
    </row>
    <row r="45" spans="1:11">
      <c r="A45" s="792"/>
      <c r="B45" s="795"/>
      <c r="C45" s="792"/>
      <c r="D45" s="73">
        <v>2019</v>
      </c>
      <c r="E45" s="75">
        <f>F45+G45+H45+I45</f>
        <v>39555.1</v>
      </c>
      <c r="F45" s="75">
        <f>'[4]8 План18-20-2'!F21</f>
        <v>39555.1</v>
      </c>
      <c r="G45" s="75">
        <f>'[4]8 План18-20-2'!G21</f>
        <v>0</v>
      </c>
      <c r="H45" s="75">
        <f>'[4]8 План18-20-2'!H21</f>
        <v>0</v>
      </c>
      <c r="I45" s="75">
        <f>'[4]8 План18-20-2'!I21</f>
        <v>0</v>
      </c>
      <c r="J45" s="787"/>
      <c r="K45" s="787"/>
    </row>
    <row r="46" spans="1:11">
      <c r="A46" s="793"/>
      <c r="B46" s="796"/>
      <c r="C46" s="793"/>
      <c r="D46" s="73">
        <v>2020</v>
      </c>
      <c r="E46" s="75">
        <f t="shared" si="2"/>
        <v>39784.300000000003</v>
      </c>
      <c r="F46" s="75">
        <f>'[4]8 План18-20-2'!F22</f>
        <v>39784.300000000003</v>
      </c>
      <c r="G46" s="75">
        <f>'[2]Пр14. План'!$G$36</f>
        <v>0</v>
      </c>
      <c r="H46" s="75">
        <f>'[2]Пр14. План'!$H$36</f>
        <v>0</v>
      </c>
      <c r="I46" s="75">
        <f>'[4]8 План18-20-2'!I20</f>
        <v>0</v>
      </c>
      <c r="J46" s="788"/>
      <c r="K46" s="788"/>
    </row>
    <row r="47" spans="1:11">
      <c r="A47" s="784" t="s">
        <v>174</v>
      </c>
      <c r="B47" s="789" t="s">
        <v>34</v>
      </c>
      <c r="C47" s="784" t="s">
        <v>14</v>
      </c>
      <c r="D47" s="73" t="s">
        <v>8</v>
      </c>
      <c r="E47" s="75">
        <f>E48+E49+E50+E51+E52+E53+E54</f>
        <v>46331.299999999996</v>
      </c>
      <c r="F47" s="75">
        <f>F48+F49+F50+F51+F52+F53+F54</f>
        <v>43456.9</v>
      </c>
      <c r="G47" s="75">
        <f>G48+G49+G50+G51+G52+G53+G54</f>
        <v>2874.4</v>
      </c>
      <c r="H47" s="75">
        <f>H48+H49+H50+H51+H52+H53+H54</f>
        <v>0</v>
      </c>
      <c r="I47" s="75">
        <f>I48+I49+I50+I51+I52+I53+I54</f>
        <v>0</v>
      </c>
      <c r="J47" s="786" t="s">
        <v>323</v>
      </c>
      <c r="K47" s="786" t="s">
        <v>321</v>
      </c>
    </row>
    <row r="48" spans="1:11">
      <c r="A48" s="784"/>
      <c r="B48" s="789"/>
      <c r="C48" s="784"/>
      <c r="D48" s="73">
        <v>2014</v>
      </c>
      <c r="E48" s="75">
        <f>'[2]Пр14. План'!$E$78</f>
        <v>1714.5</v>
      </c>
      <c r="F48" s="75">
        <f>'[2]Пр14. План'!$F$78</f>
        <v>1714.5</v>
      </c>
      <c r="G48" s="75">
        <f>'[2]Пр14. План'!$G$78</f>
        <v>0</v>
      </c>
      <c r="H48" s="75">
        <f>'[2]Пр14. План'!$H$78</f>
        <v>0</v>
      </c>
      <c r="I48" s="75">
        <f>'[2]Пр14. План'!$I$78</f>
        <v>0</v>
      </c>
      <c r="J48" s="787"/>
      <c r="K48" s="787"/>
    </row>
    <row r="49" spans="1:11">
      <c r="A49" s="784"/>
      <c r="B49" s="789"/>
      <c r="C49" s="784"/>
      <c r="D49" s="73">
        <v>2015</v>
      </c>
      <c r="E49" s="75">
        <f>'[3]план 15-17'!E42</f>
        <v>3316.2</v>
      </c>
      <c r="F49" s="75">
        <f>'[3]план 15-17'!F42</f>
        <v>1401.3</v>
      </c>
      <c r="G49" s="75">
        <f>'[3]план 15-17'!G42</f>
        <v>1914.9</v>
      </c>
      <c r="H49" s="75">
        <f>'[3]план 15-17'!H42</f>
        <v>0</v>
      </c>
      <c r="I49" s="75">
        <f>'[3]план 15-17'!I42</f>
        <v>0</v>
      </c>
      <c r="J49" s="787"/>
      <c r="K49" s="787"/>
    </row>
    <row r="50" spans="1:11">
      <c r="A50" s="784"/>
      <c r="B50" s="789"/>
      <c r="C50" s="784"/>
      <c r="D50" s="73">
        <v>2016</v>
      </c>
      <c r="E50" s="75">
        <f>F50+G50+H50+I50</f>
        <v>4215.7</v>
      </c>
      <c r="F50" s="75">
        <f>'[4]8 План18-20-2'!F60</f>
        <v>3256.2</v>
      </c>
      <c r="G50" s="75">
        <f>'[4]8 План18-20-2'!G60</f>
        <v>959.5</v>
      </c>
      <c r="H50" s="75">
        <f>'[4]8 План18-20-2'!H60</f>
        <v>0</v>
      </c>
      <c r="I50" s="75">
        <f>'[4]8 План18-20-2'!I60</f>
        <v>0</v>
      </c>
      <c r="J50" s="787"/>
      <c r="K50" s="787"/>
    </row>
    <row r="51" spans="1:11">
      <c r="A51" s="784"/>
      <c r="B51" s="789"/>
      <c r="C51" s="784"/>
      <c r="D51" s="73">
        <v>2017</v>
      </c>
      <c r="E51" s="75">
        <f>F51+G51+H51+I51</f>
        <v>2166.1999999999998</v>
      </c>
      <c r="F51" s="75">
        <f>'[4]8 План18-20-2'!F61</f>
        <v>2166.1999999999998</v>
      </c>
      <c r="G51" s="75">
        <f>'[4]8 План18-20-2'!G61</f>
        <v>0</v>
      </c>
      <c r="H51" s="75">
        <f>'[4]8 План18-20-2'!H61</f>
        <v>0</v>
      </c>
      <c r="I51" s="75">
        <f>'[4]8 План18-20-2'!I61</f>
        <v>0</v>
      </c>
      <c r="J51" s="787"/>
      <c r="K51" s="787"/>
    </row>
    <row r="52" spans="1:11">
      <c r="A52" s="784"/>
      <c r="B52" s="789"/>
      <c r="C52" s="784"/>
      <c r="D52" s="73">
        <v>2018</v>
      </c>
      <c r="E52" s="75">
        <f>F52+G52+H52+I52</f>
        <v>11318.4</v>
      </c>
      <c r="F52" s="75">
        <f>'[4]8 План18-20-2'!F62</f>
        <v>11318.4</v>
      </c>
      <c r="G52" s="75">
        <f>'[4]8 План18-20-2'!G62</f>
        <v>0</v>
      </c>
      <c r="H52" s="75">
        <f>'[4]8 План18-20-2'!H62</f>
        <v>0</v>
      </c>
      <c r="I52" s="75">
        <f>'[4]8 План18-20-2'!I62</f>
        <v>0</v>
      </c>
      <c r="J52" s="787"/>
      <c r="K52" s="787"/>
    </row>
    <row r="53" spans="1:11">
      <c r="A53" s="784"/>
      <c r="B53" s="789"/>
      <c r="C53" s="784"/>
      <c r="D53" s="73">
        <v>2019</v>
      </c>
      <c r="E53" s="75">
        <f>F53+G53+H53+I53</f>
        <v>11635.7</v>
      </c>
      <c r="F53" s="75">
        <f>'[4]8 План18-20-2'!F63</f>
        <v>11635.7</v>
      </c>
      <c r="G53" s="75">
        <f>'[4]8 План18-20-2'!G63</f>
        <v>0</v>
      </c>
      <c r="H53" s="75">
        <f>'[4]8 План18-20-2'!H63</f>
        <v>0</v>
      </c>
      <c r="I53" s="75">
        <f>'[4]8 План18-20-2'!I63</f>
        <v>0</v>
      </c>
      <c r="J53" s="787"/>
      <c r="K53" s="787"/>
    </row>
    <row r="54" spans="1:11">
      <c r="A54" s="784"/>
      <c r="B54" s="789"/>
      <c r="C54" s="784"/>
      <c r="D54" s="73">
        <v>2020</v>
      </c>
      <c r="E54" s="75">
        <f>F54+G54+H54+I54</f>
        <v>11964.6</v>
      </c>
      <c r="F54" s="75">
        <f>'[4]8 План18-20-2'!F64</f>
        <v>11964.6</v>
      </c>
      <c r="G54" s="75">
        <f>'[2]Пр14. План'!$G$84</f>
        <v>0</v>
      </c>
      <c r="H54" s="75">
        <f>'[2]Пр14. План'!$H$84</f>
        <v>0</v>
      </c>
      <c r="I54" s="75">
        <f>'[2]Пр14. План'!$I$84</f>
        <v>0</v>
      </c>
      <c r="J54" s="787"/>
      <c r="K54" s="787"/>
    </row>
    <row r="55" spans="1:11">
      <c r="A55" s="784">
        <v>2</v>
      </c>
      <c r="B55" s="790" t="s">
        <v>41</v>
      </c>
      <c r="C55" s="784" t="s">
        <v>14</v>
      </c>
      <c r="D55" s="73" t="s">
        <v>8</v>
      </c>
      <c r="E55" s="75">
        <f>E56+E57+E58+E59+E60+E61+E62</f>
        <v>3167411.8</v>
      </c>
      <c r="F55" s="75">
        <f>F56+F57+F58+F59+F60+F61+F62</f>
        <v>3123917.2</v>
      </c>
      <c r="G55" s="75">
        <f>G56+G57+G58+G59+G60+G61+G62</f>
        <v>43494.6</v>
      </c>
      <c r="H55" s="75">
        <f>H56+H57+H58+H59+H60+H61+H62</f>
        <v>0</v>
      </c>
      <c r="I55" s="75">
        <f>I56+I57+I58+I59+I60+I61+I62</f>
        <v>0</v>
      </c>
      <c r="J55" s="786"/>
      <c r="K55" s="786" t="s">
        <v>321</v>
      </c>
    </row>
    <row r="56" spans="1:11">
      <c r="A56" s="784"/>
      <c r="B56" s="790"/>
      <c r="C56" s="784"/>
      <c r="D56" s="73">
        <v>2014</v>
      </c>
      <c r="E56" s="75">
        <f>'[2]Пр14. План'!$E$110</f>
        <v>358543.30000000005</v>
      </c>
      <c r="F56" s="75">
        <f>'[2]Пр14. План'!$F$110</f>
        <v>351200.10000000003</v>
      </c>
      <c r="G56" s="75">
        <f>'[2]Пр14. План'!$G$110</f>
        <v>7343.2</v>
      </c>
      <c r="H56" s="75">
        <f>'[2]Пр14. План'!$H$110</f>
        <v>0</v>
      </c>
      <c r="I56" s="75">
        <f>'[2]Пр14. План'!$I$110</f>
        <v>0</v>
      </c>
      <c r="J56" s="787"/>
      <c r="K56" s="787"/>
    </row>
    <row r="57" spans="1:11">
      <c r="A57" s="784"/>
      <c r="B57" s="790"/>
      <c r="C57" s="784"/>
      <c r="D57" s="73">
        <v>2015</v>
      </c>
      <c r="E57" s="75">
        <f>'[3]план 15-17'!E54</f>
        <v>336025.29999999993</v>
      </c>
      <c r="F57" s="75">
        <f>'[3]план 15-17'!F54</f>
        <v>329450.19999999995</v>
      </c>
      <c r="G57" s="75">
        <f>'[3]план 15-17'!G54</f>
        <v>6575.1</v>
      </c>
      <c r="H57" s="75">
        <f>'[3]план 15-17'!H54</f>
        <v>0</v>
      </c>
      <c r="I57" s="75">
        <f>'[3]план 15-17'!I54</f>
        <v>0</v>
      </c>
      <c r="J57" s="787"/>
      <c r="K57" s="787"/>
    </row>
    <row r="58" spans="1:11">
      <c r="A58" s="784"/>
      <c r="B58" s="790"/>
      <c r="C58" s="784"/>
      <c r="D58" s="73">
        <v>2016</v>
      </c>
      <c r="E58" s="75">
        <f>F58+G58+H58+I58</f>
        <v>385423.4</v>
      </c>
      <c r="F58" s="75">
        <f>'[4]8 План18-20-2'!F84</f>
        <v>379215.5</v>
      </c>
      <c r="G58" s="75">
        <f>'[4]8 План18-20-2'!G84</f>
        <v>6207.9</v>
      </c>
      <c r="H58" s="75">
        <f>'[4]8 План18-20-2'!H84</f>
        <v>0</v>
      </c>
      <c r="I58" s="75">
        <f>'[4]8 План18-20-2'!I84</f>
        <v>0</v>
      </c>
      <c r="J58" s="787"/>
      <c r="K58" s="787"/>
    </row>
    <row r="59" spans="1:11">
      <c r="A59" s="784"/>
      <c r="B59" s="790"/>
      <c r="C59" s="784"/>
      <c r="D59" s="73">
        <v>2017</v>
      </c>
      <c r="E59" s="75">
        <f>F59+G59+H59+I59</f>
        <v>456261.4</v>
      </c>
      <c r="F59" s="75">
        <f>'[4]8 План18-20-2'!F85</f>
        <v>448205.9</v>
      </c>
      <c r="G59" s="75">
        <f>'[4]8 План18-20-2'!G85</f>
        <v>8055.5</v>
      </c>
      <c r="H59" s="75">
        <f>'[4]8 План18-20-2'!H85</f>
        <v>0</v>
      </c>
      <c r="I59" s="75">
        <f>'[4]8 План18-20-2'!I85</f>
        <v>0</v>
      </c>
      <c r="J59" s="787"/>
      <c r="K59" s="787"/>
    </row>
    <row r="60" spans="1:11">
      <c r="A60" s="784"/>
      <c r="B60" s="790"/>
      <c r="C60" s="784"/>
      <c r="D60" s="73">
        <v>2018</v>
      </c>
      <c r="E60" s="75">
        <f>F60+G60+H60+I60</f>
        <v>564541.4</v>
      </c>
      <c r="F60" s="75">
        <f>'[4]8 План18-20-2'!F86</f>
        <v>549228.5</v>
      </c>
      <c r="G60" s="75">
        <f>'[4]8 План18-20-2'!G86</f>
        <v>15312.9</v>
      </c>
      <c r="H60" s="75">
        <f>'[4]8 План18-20-2'!H86</f>
        <v>0</v>
      </c>
      <c r="I60" s="75">
        <f>'[4]8 План18-20-2'!I86</f>
        <v>0</v>
      </c>
      <c r="J60" s="787"/>
      <c r="K60" s="787"/>
    </row>
    <row r="61" spans="1:11">
      <c r="A61" s="784"/>
      <c r="B61" s="790"/>
      <c r="C61" s="784"/>
      <c r="D61" s="73">
        <v>2019</v>
      </c>
      <c r="E61" s="75">
        <f>F61+G61+H61+I61</f>
        <v>527685.5</v>
      </c>
      <c r="F61" s="75">
        <f>'[4]8 План18-20-2'!F87</f>
        <v>527685.5</v>
      </c>
      <c r="G61" s="75">
        <f>'[4]8 План18-20-2'!G87</f>
        <v>0</v>
      </c>
      <c r="H61" s="75">
        <f>'[4]8 План18-20-2'!H87</f>
        <v>0</v>
      </c>
      <c r="I61" s="75">
        <f>'[4]8 План18-20-2'!I87</f>
        <v>0</v>
      </c>
      <c r="J61" s="787"/>
      <c r="K61" s="787"/>
    </row>
    <row r="62" spans="1:11">
      <c r="A62" s="784"/>
      <c r="B62" s="790"/>
      <c r="C62" s="784"/>
      <c r="D62" s="73">
        <v>2020</v>
      </c>
      <c r="E62" s="75">
        <f>F62+G62+H62+I62</f>
        <v>538931.5</v>
      </c>
      <c r="F62" s="75">
        <f>'[4]8 План18-20-2'!F88</f>
        <v>538931.5</v>
      </c>
      <c r="G62" s="75">
        <f>'[2]Пр14. План'!$G$116</f>
        <v>0</v>
      </c>
      <c r="H62" s="75">
        <f>'[2]Пр14. План'!$H$116</f>
        <v>0</v>
      </c>
      <c r="I62" s="75">
        <f>'[2]Пр14. План'!$I$116</f>
        <v>0</v>
      </c>
      <c r="J62" s="787"/>
      <c r="K62" s="787"/>
    </row>
    <row r="63" spans="1:11">
      <c r="A63" s="784" t="s">
        <v>175</v>
      </c>
      <c r="B63" s="789" t="s">
        <v>44</v>
      </c>
      <c r="C63" s="784" t="s">
        <v>14</v>
      </c>
      <c r="D63" s="73" t="s">
        <v>8</v>
      </c>
      <c r="E63" s="75">
        <f>E64+E65+E66+E67+E68+E69+E70</f>
        <v>736827.2</v>
      </c>
      <c r="F63" s="75">
        <f>F64+F65+F66+F67+F68+F69+F70</f>
        <v>736847.2</v>
      </c>
      <c r="G63" s="75">
        <f>G64+G65+G66+G67+G68+G69+G70</f>
        <v>0</v>
      </c>
      <c r="H63" s="75">
        <f>H64+H65+H66+H67+H68+H69+H70</f>
        <v>0</v>
      </c>
      <c r="I63" s="75">
        <f>I64+I65+I66+I67+I68+I69+I70</f>
        <v>0</v>
      </c>
      <c r="J63" s="786" t="s">
        <v>324</v>
      </c>
      <c r="K63" s="786" t="s">
        <v>321</v>
      </c>
    </row>
    <row r="64" spans="1:11">
      <c r="A64" s="784"/>
      <c r="B64" s="789"/>
      <c r="C64" s="784"/>
      <c r="D64" s="73">
        <v>2014</v>
      </c>
      <c r="E64" s="75">
        <f>'[2]Пр14. План'!$E$126</f>
        <v>128033.59999999999</v>
      </c>
      <c r="F64" s="75">
        <f>'[2]Пр14. План'!$F$126</f>
        <v>128033.59999999999</v>
      </c>
      <c r="G64" s="75">
        <f>'[2]Пр14. План'!$G$126</f>
        <v>0</v>
      </c>
      <c r="H64" s="75">
        <f>'[2]Пр14. План'!$H$126</f>
        <v>0</v>
      </c>
      <c r="I64" s="75">
        <f>'[2]Пр14. План'!$I$126</f>
        <v>0</v>
      </c>
      <c r="J64" s="787"/>
      <c r="K64" s="787"/>
    </row>
    <row r="65" spans="1:11">
      <c r="A65" s="784"/>
      <c r="B65" s="789"/>
      <c r="C65" s="784"/>
      <c r="D65" s="73">
        <v>2015</v>
      </c>
      <c r="E65" s="75">
        <f>'[3]план 15-17'!E62</f>
        <v>86630.5</v>
      </c>
      <c r="F65" s="75">
        <f>'[3]план 15-17'!F62</f>
        <v>86650.5</v>
      </c>
      <c r="G65" s="75">
        <f>'[3]план 15-17'!G62</f>
        <v>0</v>
      </c>
      <c r="H65" s="75">
        <f>'[3]план 15-17'!H62</f>
        <v>0</v>
      </c>
      <c r="I65" s="75">
        <f>'[3]план 15-17'!I62</f>
        <v>0</v>
      </c>
      <c r="J65" s="787"/>
      <c r="K65" s="787"/>
    </row>
    <row r="66" spans="1:11">
      <c r="A66" s="784"/>
      <c r="B66" s="789"/>
      <c r="C66" s="784"/>
      <c r="D66" s="73">
        <v>2016</v>
      </c>
      <c r="E66" s="75">
        <f>F66+G66+H66+I66</f>
        <v>86400.5</v>
      </c>
      <c r="F66" s="75">
        <f>'[4]8 План18-20-2'!F90</f>
        <v>86400.5</v>
      </c>
      <c r="G66" s="75">
        <f>'[4]8 План18-20-2'!G90</f>
        <v>0</v>
      </c>
      <c r="H66" s="75">
        <f>'[4]8 План18-20-2'!H90</f>
        <v>0</v>
      </c>
      <c r="I66" s="75">
        <f>'[4]8 План18-20-2'!I90</f>
        <v>0</v>
      </c>
      <c r="J66" s="787"/>
      <c r="K66" s="787"/>
    </row>
    <row r="67" spans="1:11">
      <c r="A67" s="784"/>
      <c r="B67" s="789"/>
      <c r="C67" s="784"/>
      <c r="D67" s="73">
        <v>2017</v>
      </c>
      <c r="E67" s="75">
        <f>F67+G67+H67+I67</f>
        <v>84336.700000000012</v>
      </c>
      <c r="F67" s="75">
        <f>'[4]8 План18-20-2'!F91</f>
        <v>84336.700000000012</v>
      </c>
      <c r="G67" s="75">
        <f>'[4]8 План18-20-2'!G91</f>
        <v>0</v>
      </c>
      <c r="H67" s="75">
        <f>'[4]8 План18-20-2'!H91</f>
        <v>0</v>
      </c>
      <c r="I67" s="75">
        <f>'[4]8 План18-20-2'!I91</f>
        <v>0</v>
      </c>
      <c r="J67" s="787"/>
      <c r="K67" s="787"/>
    </row>
    <row r="68" spans="1:11">
      <c r="A68" s="784"/>
      <c r="B68" s="789"/>
      <c r="C68" s="784"/>
      <c r="D68" s="73">
        <v>2018</v>
      </c>
      <c r="E68" s="75">
        <f>F68+G68+H68+I68</f>
        <v>116483.30000000002</v>
      </c>
      <c r="F68" s="75">
        <f>'[4]8 План18-20-2'!F92</f>
        <v>116483.30000000002</v>
      </c>
      <c r="G68" s="75">
        <f>'[4]8 План18-20-2'!G92</f>
        <v>0</v>
      </c>
      <c r="H68" s="75">
        <f>'[4]8 План18-20-2'!H92</f>
        <v>0</v>
      </c>
      <c r="I68" s="75">
        <f>'[4]8 План18-20-2'!I92</f>
        <v>0</v>
      </c>
      <c r="J68" s="787"/>
      <c r="K68" s="787"/>
    </row>
    <row r="69" spans="1:11">
      <c r="A69" s="784"/>
      <c r="B69" s="789"/>
      <c r="C69" s="784"/>
      <c r="D69" s="73">
        <v>2019</v>
      </c>
      <c r="E69" s="75">
        <f>F69+G69+H69+I69</f>
        <v>116993.60000000002</v>
      </c>
      <c r="F69" s="75">
        <f>'[4]8 План18-20-2'!F93</f>
        <v>116993.60000000002</v>
      </c>
      <c r="G69" s="75">
        <f>'[2]Пр14. План'!$G$131</f>
        <v>0</v>
      </c>
      <c r="H69" s="75">
        <f>'[2]Пр14. План'!$H$131</f>
        <v>0</v>
      </c>
      <c r="I69" s="75">
        <f>'[2]Пр14. План'!$I$131</f>
        <v>0</v>
      </c>
      <c r="J69" s="787"/>
      <c r="K69" s="787"/>
    </row>
    <row r="70" spans="1:11">
      <c r="A70" s="784"/>
      <c r="B70" s="789"/>
      <c r="C70" s="784"/>
      <c r="D70" s="73">
        <v>2020</v>
      </c>
      <c r="E70" s="75">
        <f>F70+G70+H70+I70</f>
        <v>117949.00000000001</v>
      </c>
      <c r="F70" s="75">
        <f>'[4]8 План18-20-2'!F94</f>
        <v>117949.00000000001</v>
      </c>
      <c r="G70" s="75">
        <f>'[2]Пр14. План'!$G$132</f>
        <v>0</v>
      </c>
      <c r="H70" s="75">
        <f>'[2]Пр14. План'!$H$132</f>
        <v>0</v>
      </c>
      <c r="I70" s="75">
        <f>'[2]Пр14. План'!$I$132</f>
        <v>0</v>
      </c>
      <c r="J70" s="787"/>
      <c r="K70" s="787"/>
    </row>
    <row r="71" spans="1:11">
      <c r="A71" s="784" t="s">
        <v>176</v>
      </c>
      <c r="B71" s="789" t="s">
        <v>325</v>
      </c>
      <c r="C71" s="784" t="s">
        <v>14</v>
      </c>
      <c r="D71" s="73" t="s">
        <v>8</v>
      </c>
      <c r="E71" s="75">
        <f>E72+E73+E74+E75+E76+E77+E78</f>
        <v>2366152.5</v>
      </c>
      <c r="F71" s="75">
        <f>F72+F73+F74+F75+F76+F77+F78</f>
        <v>2322657.9</v>
      </c>
      <c r="G71" s="75">
        <f>G72+G73+G74+G75+G76+G77+G78</f>
        <v>43494.6</v>
      </c>
      <c r="H71" s="75">
        <f>H72+H73+H74+H75+H76+H77+H78</f>
        <v>0</v>
      </c>
      <c r="I71" s="75">
        <f>I72+I73+I74+I75+I76+I77+I78</f>
        <v>0</v>
      </c>
      <c r="J71" s="786" t="s">
        <v>326</v>
      </c>
      <c r="K71" s="786" t="s">
        <v>321</v>
      </c>
    </row>
    <row r="72" spans="1:11">
      <c r="A72" s="784"/>
      <c r="B72" s="789"/>
      <c r="C72" s="784"/>
      <c r="D72" s="73">
        <v>2014</v>
      </c>
      <c r="E72" s="75">
        <f>'[2]Пр14. План'!$E$246</f>
        <v>213046.80000000005</v>
      </c>
      <c r="F72" s="75">
        <f>'[2]Пр14. План'!$F$246</f>
        <v>205703.60000000003</v>
      </c>
      <c r="G72" s="75">
        <f>'[2]Пр14. План'!$G$246</f>
        <v>7343.2</v>
      </c>
      <c r="H72" s="75">
        <f>'[2]Пр14. План'!$H$246</f>
        <v>0</v>
      </c>
      <c r="I72" s="75">
        <f>'[2]Пр14. План'!$I$246</f>
        <v>0</v>
      </c>
      <c r="J72" s="787"/>
      <c r="K72" s="787"/>
    </row>
    <row r="73" spans="1:11">
      <c r="A73" s="784"/>
      <c r="B73" s="789"/>
      <c r="C73" s="784"/>
      <c r="D73" s="73">
        <v>2015</v>
      </c>
      <c r="E73" s="75">
        <f>'[3]план 15-17'!E118</f>
        <v>233706.69999999995</v>
      </c>
      <c r="F73" s="75">
        <f>'[3]план 15-17'!F118</f>
        <v>227131.59999999995</v>
      </c>
      <c r="G73" s="75">
        <f>'[3]план 15-17'!G118</f>
        <v>6575.1</v>
      </c>
      <c r="H73" s="75">
        <f>'[3]план 15-17'!H118</f>
        <v>0</v>
      </c>
      <c r="I73" s="75">
        <f>'[3]план 15-17'!I118</f>
        <v>0</v>
      </c>
      <c r="J73" s="787"/>
      <c r="K73" s="787"/>
    </row>
    <row r="74" spans="1:11">
      <c r="A74" s="784"/>
      <c r="B74" s="789"/>
      <c r="C74" s="784"/>
      <c r="D74" s="73">
        <v>2016</v>
      </c>
      <c r="E74" s="75">
        <f>F74+G74+H74+I74</f>
        <v>297039.60000000003</v>
      </c>
      <c r="F74" s="75">
        <f>'[4]8 План18-20-2'!F156</f>
        <v>290831.7</v>
      </c>
      <c r="G74" s="75">
        <f>'[4]8 План18-20-2'!G156</f>
        <v>6207.9</v>
      </c>
      <c r="H74" s="75">
        <f>'[4]8 План18-20-2'!H156</f>
        <v>0</v>
      </c>
      <c r="I74" s="75">
        <f>'[4]8 План18-20-2'!I156</f>
        <v>0</v>
      </c>
      <c r="J74" s="787"/>
      <c r="K74" s="787"/>
    </row>
    <row r="75" spans="1:11">
      <c r="A75" s="784"/>
      <c r="B75" s="789"/>
      <c r="C75" s="784"/>
      <c r="D75" s="73">
        <v>2017</v>
      </c>
      <c r="E75" s="75">
        <f>F75+G75+H75+I75</f>
        <v>344371.4</v>
      </c>
      <c r="F75" s="75">
        <f>'[4]8 План18-20-2'!F157</f>
        <v>336315.9</v>
      </c>
      <c r="G75" s="75">
        <f>'[4]8 План18-20-2'!G157</f>
        <v>8055.5</v>
      </c>
      <c r="H75" s="75">
        <f>'[4]8 План18-20-2'!H157</f>
        <v>0</v>
      </c>
      <c r="I75" s="75">
        <f>'[4]8 План18-20-2'!I157</f>
        <v>0</v>
      </c>
      <c r="J75" s="787"/>
      <c r="K75" s="787"/>
    </row>
    <row r="76" spans="1:11">
      <c r="A76" s="784"/>
      <c r="B76" s="789"/>
      <c r="C76" s="784"/>
      <c r="D76" s="73">
        <v>2018</v>
      </c>
      <c r="E76" s="75">
        <f>F76+G76+H76+I76</f>
        <v>447476.60000000003</v>
      </c>
      <c r="F76" s="75">
        <f>'[4]8 План18-20-2'!F158</f>
        <v>432163.7</v>
      </c>
      <c r="G76" s="75">
        <f>'[4]8 План18-20-2'!G158</f>
        <v>15312.9</v>
      </c>
      <c r="H76" s="75">
        <f>'[4]8 План18-20-2'!H158</f>
        <v>0</v>
      </c>
      <c r="I76" s="75">
        <f>'[4]8 План18-20-2'!I158</f>
        <v>0</v>
      </c>
      <c r="J76" s="787"/>
      <c r="K76" s="787"/>
    </row>
    <row r="77" spans="1:11">
      <c r="A77" s="784"/>
      <c r="B77" s="789"/>
      <c r="C77" s="784"/>
      <c r="D77" s="73">
        <v>2019</v>
      </c>
      <c r="E77" s="75">
        <f>F77+G77+H77+I77</f>
        <v>410110.4</v>
      </c>
      <c r="F77" s="75">
        <f>'[4]8 План18-20-2'!F159</f>
        <v>410110.4</v>
      </c>
      <c r="G77" s="75">
        <f>'[4]8 План18-20-2'!G159</f>
        <v>0</v>
      </c>
      <c r="H77" s="75">
        <f>'[4]8 План18-20-2'!H159</f>
        <v>0</v>
      </c>
      <c r="I77" s="75">
        <f>'[4]8 План18-20-2'!I159</f>
        <v>0</v>
      </c>
      <c r="J77" s="787"/>
      <c r="K77" s="787"/>
    </row>
    <row r="78" spans="1:11">
      <c r="A78" s="784"/>
      <c r="B78" s="789"/>
      <c r="C78" s="784"/>
      <c r="D78" s="73">
        <v>2020</v>
      </c>
      <c r="E78" s="75">
        <f>F78+G78+H78+I78</f>
        <v>420401</v>
      </c>
      <c r="F78" s="75">
        <f>'[4]8 План18-20-2'!F160</f>
        <v>420401</v>
      </c>
      <c r="G78" s="75">
        <f>'[2]Пр14. План'!$G$252</f>
        <v>0</v>
      </c>
      <c r="H78" s="75">
        <f>'[2]Пр14. План'!$H$252</f>
        <v>0</v>
      </c>
      <c r="I78" s="75">
        <f>'[2]Пр14. План'!$I$252</f>
        <v>0</v>
      </c>
      <c r="J78" s="787"/>
      <c r="K78" s="787"/>
    </row>
    <row r="79" spans="1:11">
      <c r="A79" s="784" t="s">
        <v>177</v>
      </c>
      <c r="B79" s="789" t="s">
        <v>68</v>
      </c>
      <c r="C79" s="784" t="s">
        <v>14</v>
      </c>
      <c r="D79" s="73" t="s">
        <v>8</v>
      </c>
      <c r="E79" s="75">
        <f>E80+E81+E82+E83+E84+E85+E86</f>
        <v>64412.100000000006</v>
      </c>
      <c r="F79" s="75">
        <f>F80+F81+F82+F83+F84+F85+F86</f>
        <v>64412.100000000006</v>
      </c>
      <c r="G79" s="75">
        <f>G80+G81+G82+G83+G84+G85+G86</f>
        <v>0</v>
      </c>
      <c r="H79" s="75">
        <f>H80+H81+H82+H83+H84+H85+H86</f>
        <v>0</v>
      </c>
      <c r="I79" s="75">
        <f>I80+I81+I82+I83+I84+I85+I86</f>
        <v>0</v>
      </c>
      <c r="J79" s="786" t="s">
        <v>327</v>
      </c>
      <c r="K79" s="786" t="s">
        <v>321</v>
      </c>
    </row>
    <row r="80" spans="1:11">
      <c r="A80" s="784"/>
      <c r="B80" s="789"/>
      <c r="C80" s="784"/>
      <c r="D80" s="73">
        <v>2014</v>
      </c>
      <c r="E80" s="75">
        <f>'[2]Пр14. План'!$E$638</f>
        <v>17462.899999999998</v>
      </c>
      <c r="F80" s="75">
        <f>'[2]Пр14. План'!$F$638</f>
        <v>17462.899999999998</v>
      </c>
      <c r="G80" s="75">
        <f>'[2]Пр14. План'!$G$638</f>
        <v>0</v>
      </c>
      <c r="H80" s="75">
        <f>'[2]Пр14. План'!$H$638</f>
        <v>0</v>
      </c>
      <c r="I80" s="75">
        <f>'[2]Пр14. План'!$I$638</f>
        <v>0</v>
      </c>
      <c r="J80" s="787"/>
      <c r="K80" s="787"/>
    </row>
    <row r="81" spans="1:11">
      <c r="A81" s="784"/>
      <c r="B81" s="789"/>
      <c r="C81" s="784"/>
      <c r="D81" s="73">
        <v>2015</v>
      </c>
      <c r="E81" s="75">
        <f>'[3]план 15-17'!E266</f>
        <v>15668.1</v>
      </c>
      <c r="F81" s="75">
        <f>'[3]план 15-17'!F266</f>
        <v>15668.1</v>
      </c>
      <c r="G81" s="75">
        <f>'[3]план 15-17'!G266</f>
        <v>0</v>
      </c>
      <c r="H81" s="75">
        <f>'[3]план 15-17'!H266</f>
        <v>0</v>
      </c>
      <c r="I81" s="75">
        <f>'[3]план 15-17'!I266</f>
        <v>0</v>
      </c>
      <c r="J81" s="787"/>
      <c r="K81" s="787"/>
    </row>
    <row r="82" spans="1:11">
      <c r="A82" s="784"/>
      <c r="B82" s="789"/>
      <c r="C82" s="784"/>
      <c r="D82" s="73">
        <v>2016</v>
      </c>
      <c r="E82" s="75">
        <f>F82+G82+H82+I82</f>
        <v>1983.3</v>
      </c>
      <c r="F82" s="75">
        <f>'[4]8 План18-20-2'!F186</f>
        <v>1983.3</v>
      </c>
      <c r="G82" s="75">
        <f>'[4]8 План18-20-2'!G186</f>
        <v>0</v>
      </c>
      <c r="H82" s="75">
        <f>'[4]8 План18-20-2'!H186</f>
        <v>0</v>
      </c>
      <c r="I82" s="75">
        <f>'[4]8 План18-20-2'!I186</f>
        <v>0</v>
      </c>
      <c r="J82" s="787"/>
      <c r="K82" s="787"/>
    </row>
    <row r="83" spans="1:11">
      <c r="A83" s="784"/>
      <c r="B83" s="789"/>
      <c r="C83" s="784"/>
      <c r="D83" s="73">
        <v>2017</v>
      </c>
      <c r="E83" s="75">
        <f>F83+G83+H83+I83</f>
        <v>27553.3</v>
      </c>
      <c r="F83" s="75">
        <f>'[4]8 План18-20-2'!F187</f>
        <v>27553.3</v>
      </c>
      <c r="G83" s="75">
        <f>'[4]8 План18-20-2'!G187</f>
        <v>0</v>
      </c>
      <c r="H83" s="75">
        <f>'[4]8 План18-20-2'!H187</f>
        <v>0</v>
      </c>
      <c r="I83" s="75">
        <f>'[4]8 План18-20-2'!I187</f>
        <v>0</v>
      </c>
      <c r="J83" s="787"/>
      <c r="K83" s="787"/>
    </row>
    <row r="84" spans="1:11">
      <c r="A84" s="784"/>
      <c r="B84" s="789"/>
      <c r="C84" s="784"/>
      <c r="D84" s="73">
        <v>2018</v>
      </c>
      <c r="E84" s="75">
        <f>F84+G84+H84+I84</f>
        <v>581.5</v>
      </c>
      <c r="F84" s="75">
        <f>'[4]8 План18-20-2'!F188</f>
        <v>581.5</v>
      </c>
      <c r="G84" s="75">
        <f>'[4]8 План18-20-2'!G188</f>
        <v>0</v>
      </c>
      <c r="H84" s="75">
        <f>'[4]8 План18-20-2'!H188</f>
        <v>0</v>
      </c>
      <c r="I84" s="75">
        <f>'[4]8 План18-20-2'!I188</f>
        <v>0</v>
      </c>
      <c r="J84" s="787"/>
      <c r="K84" s="787"/>
    </row>
    <row r="85" spans="1:11">
      <c r="A85" s="784"/>
      <c r="B85" s="789"/>
      <c r="C85" s="784"/>
      <c r="D85" s="73">
        <v>2019</v>
      </c>
      <c r="E85" s="75">
        <f>F85+G85+H85+I85</f>
        <v>581.5</v>
      </c>
      <c r="F85" s="75">
        <f>'[4]8 План18-20-2'!F189</f>
        <v>581.5</v>
      </c>
      <c r="G85" s="75">
        <f>'[4]8 План18-20-2'!G189</f>
        <v>0</v>
      </c>
      <c r="H85" s="75">
        <f>'[4]8 План18-20-2'!H189</f>
        <v>0</v>
      </c>
      <c r="I85" s="75">
        <f>'[4]8 План18-20-2'!I189</f>
        <v>0</v>
      </c>
      <c r="J85" s="787"/>
      <c r="K85" s="787"/>
    </row>
    <row r="86" spans="1:11">
      <c r="A86" s="784"/>
      <c r="B86" s="789"/>
      <c r="C86" s="784"/>
      <c r="D86" s="73">
        <v>2020</v>
      </c>
      <c r="E86" s="75">
        <f>F86+G86+H86+I86</f>
        <v>581.5</v>
      </c>
      <c r="F86" s="75">
        <f>'[4]8 План18-20-2'!F190</f>
        <v>581.5</v>
      </c>
      <c r="G86" s="75">
        <f>'[2]Пр14. План'!$G$644</f>
        <v>0</v>
      </c>
      <c r="H86" s="75">
        <f>'[2]Пр14. План'!$H$644</f>
        <v>0</v>
      </c>
      <c r="I86" s="75">
        <f>'[2]Пр14. План'!$I$644</f>
        <v>0</v>
      </c>
      <c r="J86" s="787"/>
      <c r="K86" s="787"/>
    </row>
    <row r="87" spans="1:11">
      <c r="A87" s="784">
        <v>3</v>
      </c>
      <c r="B87" s="790" t="s">
        <v>77</v>
      </c>
      <c r="C87" s="784" t="s">
        <v>14</v>
      </c>
      <c r="D87" s="73" t="s">
        <v>8</v>
      </c>
      <c r="E87" s="75">
        <f>E88+E89+E90+E91+E92+E93+E94</f>
        <v>2944254.05</v>
      </c>
      <c r="F87" s="75">
        <f>F88+F89+F90+F91+F92+F93+F94</f>
        <v>2074459.85</v>
      </c>
      <c r="G87" s="75">
        <f>G88+G89+G90+G91+G92+G93+G94</f>
        <v>475828.80000000005</v>
      </c>
      <c r="H87" s="75">
        <f>H88+H89+H90+H91+H92+H93+H94</f>
        <v>324944.40000000002</v>
      </c>
      <c r="I87" s="75">
        <f>I88+I89+I90+I91+I92+I93+I94</f>
        <v>69021</v>
      </c>
      <c r="J87" s="786"/>
      <c r="K87" s="786" t="s">
        <v>317</v>
      </c>
    </row>
    <row r="88" spans="1:11">
      <c r="A88" s="784"/>
      <c r="B88" s="790"/>
      <c r="C88" s="784"/>
      <c r="D88" s="73">
        <v>2014</v>
      </c>
      <c r="E88" s="75">
        <f>F88+G88+H88+I88</f>
        <v>568430.29999999993</v>
      </c>
      <c r="F88" s="75">
        <f>'[2]Пр14. План'!$F$670</f>
        <v>473335.7</v>
      </c>
      <c r="G88" s="75">
        <f>'[2]Пр14. План'!$G$670</f>
        <v>88421</v>
      </c>
      <c r="H88" s="75">
        <f>'[2]Пр14. План'!$H$670</f>
        <v>1752.6</v>
      </c>
      <c r="I88" s="75">
        <f>'[4]4. ОКС'!L16</f>
        <v>4921</v>
      </c>
      <c r="J88" s="787"/>
      <c r="K88" s="787"/>
    </row>
    <row r="89" spans="1:11">
      <c r="A89" s="784"/>
      <c r="B89" s="790"/>
      <c r="C89" s="784"/>
      <c r="D89" s="73">
        <v>2015</v>
      </c>
      <c r="E89" s="75">
        <f>F89+G89+H89+I89</f>
        <v>399598.3</v>
      </c>
      <c r="F89" s="75">
        <f>'[3]план 15-17'!F286</f>
        <v>254835.7</v>
      </c>
      <c r="G89" s="75">
        <f>'[3]план 15-17'!G286</f>
        <v>141842</v>
      </c>
      <c r="H89" s="75">
        <f>'[3]план 15-17'!H286</f>
        <v>2920.6</v>
      </c>
      <c r="I89" s="75">
        <f>'[3]план 15-17'!I286</f>
        <v>0</v>
      </c>
      <c r="J89" s="787"/>
      <c r="K89" s="787"/>
    </row>
    <row r="90" spans="1:11">
      <c r="A90" s="784"/>
      <c r="B90" s="790"/>
      <c r="C90" s="784"/>
      <c r="D90" s="73">
        <v>2016</v>
      </c>
      <c r="E90" s="75">
        <f>'[4]8 План18-20-2'!E216</f>
        <v>165142.70000000001</v>
      </c>
      <c r="F90" s="75">
        <f>'[4]8 План18-20-2'!F216</f>
        <v>112036</v>
      </c>
      <c r="G90" s="75">
        <f>'[4]8 План18-20-2'!G216</f>
        <v>11357.5</v>
      </c>
      <c r="H90" s="75">
        <f>'[4]8 План18-20-2'!H216</f>
        <v>20949.2</v>
      </c>
      <c r="I90" s="75">
        <f>'[4]8 План18-20-2'!I216</f>
        <v>20800</v>
      </c>
      <c r="J90" s="787"/>
      <c r="K90" s="787"/>
    </row>
    <row r="91" spans="1:11">
      <c r="A91" s="784"/>
      <c r="B91" s="790"/>
      <c r="C91" s="784"/>
      <c r="D91" s="73">
        <v>2017</v>
      </c>
      <c r="E91" s="75">
        <f>'[4]8 План18-20-2'!E217</f>
        <v>229531.3</v>
      </c>
      <c r="F91" s="75">
        <f>'[4]8 План18-20-2'!F217</f>
        <v>135945</v>
      </c>
      <c r="G91" s="75">
        <f>'[4]8 План18-20-2'!G217</f>
        <v>11265.5</v>
      </c>
      <c r="H91" s="75">
        <f>'[4]8 План18-20-2'!H217</f>
        <v>67320.800000000003</v>
      </c>
      <c r="I91" s="75">
        <f>'[4]8 План18-20-2'!I217</f>
        <v>15000</v>
      </c>
      <c r="J91" s="787"/>
      <c r="K91" s="787"/>
    </row>
    <row r="92" spans="1:11">
      <c r="A92" s="784"/>
      <c r="B92" s="790"/>
      <c r="C92" s="784"/>
      <c r="D92" s="73">
        <v>2018</v>
      </c>
      <c r="E92" s="75">
        <f>'[4]8 План18-20-2'!E218</f>
        <v>425028.25</v>
      </c>
      <c r="F92" s="75">
        <f>'[4]8 План18-20-2'!F218</f>
        <v>371128.65</v>
      </c>
      <c r="G92" s="75">
        <f>'[4]8 План18-20-2'!G218</f>
        <v>0</v>
      </c>
      <c r="H92" s="75">
        <f>'[4]8 План18-20-2'!H218</f>
        <v>53899.6</v>
      </c>
      <c r="I92" s="75">
        <f>'[4]8 План18-20-2'!I218</f>
        <v>0</v>
      </c>
      <c r="J92" s="787"/>
      <c r="K92" s="787"/>
    </row>
    <row r="93" spans="1:11">
      <c r="A93" s="784"/>
      <c r="B93" s="790"/>
      <c r="C93" s="784"/>
      <c r="D93" s="73">
        <v>2019</v>
      </c>
      <c r="E93" s="75">
        <f>'[4]8 План18-20-2'!E219</f>
        <v>776658.2</v>
      </c>
      <c r="F93" s="75">
        <f>'[4]8 План18-20-2'!F219</f>
        <v>522074.2</v>
      </c>
      <c r="G93" s="75">
        <f>'[4]8 План18-20-2'!G219</f>
        <v>111471.4</v>
      </c>
      <c r="H93" s="75">
        <f>'[4]8 План18-20-2'!H219</f>
        <v>114812.6</v>
      </c>
      <c r="I93" s="75">
        <f>'[4]8 План18-20-2'!I219</f>
        <v>28300</v>
      </c>
      <c r="J93" s="787"/>
      <c r="K93" s="787"/>
    </row>
    <row r="94" spans="1:11">
      <c r="A94" s="784"/>
      <c r="B94" s="790"/>
      <c r="C94" s="784"/>
      <c r="D94" s="73">
        <v>2020</v>
      </c>
      <c r="E94" s="75">
        <f>'[4]8 План18-20-2'!E220</f>
        <v>379865</v>
      </c>
      <c r="F94" s="75">
        <f>'[4]8 План18-20-2'!F220</f>
        <v>205104.6</v>
      </c>
      <c r="G94" s="75">
        <f>'[4]8 План18-20-2'!G220</f>
        <v>111471.4</v>
      </c>
      <c r="H94" s="75">
        <f>'[4]8 План18-20-2'!H220</f>
        <v>63289</v>
      </c>
      <c r="I94" s="75">
        <f>'[4]8 План18-20-2'!I220</f>
        <v>0</v>
      </c>
      <c r="J94" s="787"/>
      <c r="K94" s="787"/>
    </row>
    <row r="95" spans="1:11" ht="15" customHeight="1">
      <c r="A95" s="791" t="s">
        <v>178</v>
      </c>
      <c r="B95" s="794" t="s">
        <v>80</v>
      </c>
      <c r="C95" s="791" t="s">
        <v>14</v>
      </c>
      <c r="D95" s="73" t="s">
        <v>8</v>
      </c>
      <c r="E95" s="75">
        <f>E96+E97+E98+E99+E100+E101+E102</f>
        <v>2248815.15</v>
      </c>
      <c r="F95" s="75">
        <f>F96+F97+F98+F99+F100+F101+F102</f>
        <v>1609051.25</v>
      </c>
      <c r="G95" s="75">
        <f>G96+G97+G98+G99+G100+G101+G102</f>
        <v>427942.80000000005</v>
      </c>
      <c r="H95" s="75">
        <f>H96+H97+H98+H99+H100+H101+H102</f>
        <v>173833</v>
      </c>
      <c r="I95" s="75">
        <f>I96+I97+I98+I99+I100+I101+I102</f>
        <v>37988.1</v>
      </c>
      <c r="J95" s="786" t="s">
        <v>328</v>
      </c>
      <c r="K95" s="786" t="s">
        <v>320</v>
      </c>
    </row>
    <row r="96" spans="1:11">
      <c r="A96" s="792"/>
      <c r="B96" s="795"/>
      <c r="C96" s="792"/>
      <c r="D96" s="73">
        <v>2014</v>
      </c>
      <c r="E96" s="75">
        <f>F96+G96+H96+I96</f>
        <v>516075.6</v>
      </c>
      <c r="F96" s="75">
        <f>'[2]Пр14. План'!$F$686</f>
        <v>433887.5</v>
      </c>
      <c r="G96" s="75">
        <f>'[2]Пр14. План'!$G$686</f>
        <v>80000</v>
      </c>
      <c r="H96" s="75">
        <f>'[2]Пр14. План'!$H$686</f>
        <v>0</v>
      </c>
      <c r="I96" s="75">
        <f>'[4]4. ОКС'!L101</f>
        <v>2188.1</v>
      </c>
      <c r="J96" s="787"/>
      <c r="K96" s="787"/>
    </row>
    <row r="97" spans="1:11">
      <c r="A97" s="792"/>
      <c r="B97" s="795"/>
      <c r="C97" s="792"/>
      <c r="D97" s="73">
        <v>2015</v>
      </c>
      <c r="E97" s="75">
        <f>F97+G97+H97+I97</f>
        <v>323427.5</v>
      </c>
      <c r="F97" s="75">
        <f>'[3]план 15-17'!F294</f>
        <v>198427.5</v>
      </c>
      <c r="G97" s="75">
        <f>'[3]план 15-17'!G294</f>
        <v>125000</v>
      </c>
      <c r="H97" s="75">
        <f>'[3]план 15-17'!H294</f>
        <v>0</v>
      </c>
      <c r="I97" s="75">
        <f>'[3]план 15-17'!I294</f>
        <v>0</v>
      </c>
      <c r="J97" s="787"/>
      <c r="K97" s="787"/>
    </row>
    <row r="98" spans="1:11">
      <c r="A98" s="792"/>
      <c r="B98" s="795"/>
      <c r="C98" s="792"/>
      <c r="D98" s="73">
        <v>2016</v>
      </c>
      <c r="E98" s="75">
        <f>'[4]8 План18-20-2'!E222</f>
        <v>76401.7</v>
      </c>
      <c r="F98" s="75">
        <f>'[4]8 План18-20-2'!F222</f>
        <v>38301.699999999997</v>
      </c>
      <c r="G98" s="75">
        <f>'[4]8 План18-20-2'!G222</f>
        <v>0</v>
      </c>
      <c r="H98" s="75">
        <f>'[4]8 План18-20-2'!H222</f>
        <v>17300</v>
      </c>
      <c r="I98" s="75">
        <f>'[4]8 План18-20-2'!I222</f>
        <v>20800</v>
      </c>
      <c r="J98" s="787"/>
      <c r="K98" s="787"/>
    </row>
    <row r="99" spans="1:11">
      <c r="A99" s="792"/>
      <c r="B99" s="795"/>
      <c r="C99" s="792"/>
      <c r="D99" s="73">
        <v>2017</v>
      </c>
      <c r="E99" s="75">
        <f>'[4]8 План18-20-2'!E223</f>
        <v>165279.4</v>
      </c>
      <c r="F99" s="75">
        <f>'[4]8 План18-20-2'!F223</f>
        <v>85679.4</v>
      </c>
      <c r="G99" s="75">
        <f>'[4]8 План18-20-2'!G223</f>
        <v>0</v>
      </c>
      <c r="H99" s="75">
        <f>'[4]8 План18-20-2'!H223</f>
        <v>64600</v>
      </c>
      <c r="I99" s="75">
        <f>'[4]8 План18-20-2'!I223</f>
        <v>15000</v>
      </c>
      <c r="J99" s="787"/>
      <c r="K99" s="787"/>
    </row>
    <row r="100" spans="1:11">
      <c r="A100" s="792"/>
      <c r="B100" s="795"/>
      <c r="C100" s="792"/>
      <c r="D100" s="73">
        <v>2018</v>
      </c>
      <c r="E100" s="75">
        <f>'[4]8 План18-20-2'!E224</f>
        <v>363024.95</v>
      </c>
      <c r="F100" s="75">
        <f>'[4]8 План18-20-2'!F224</f>
        <v>321650.85000000003</v>
      </c>
      <c r="G100" s="75">
        <f>'[4]8 План18-20-2'!G224</f>
        <v>0</v>
      </c>
      <c r="H100" s="75">
        <f>'[4]8 План18-20-2'!H224</f>
        <v>41374.1</v>
      </c>
      <c r="I100" s="75">
        <f>'[4]8 План18-20-2'!I224</f>
        <v>0</v>
      </c>
      <c r="J100" s="787"/>
      <c r="K100" s="787"/>
    </row>
    <row r="101" spans="1:11">
      <c r="A101" s="792"/>
      <c r="B101" s="795"/>
      <c r="C101" s="792"/>
      <c r="D101" s="73">
        <v>2019</v>
      </c>
      <c r="E101" s="75">
        <f>'[4]8 План18-20-2'!E225</f>
        <v>555441</v>
      </c>
      <c r="F101" s="75">
        <f>'[4]8 План18-20-2'!F225</f>
        <v>394349.7</v>
      </c>
      <c r="G101" s="75">
        <f>'[4]8 План18-20-2'!G225</f>
        <v>111471.4</v>
      </c>
      <c r="H101" s="75">
        <f>'[4]8 План18-20-2'!H225</f>
        <v>49619.9</v>
      </c>
      <c r="I101" s="75">
        <f>'[4]8 План18-20-2'!I225</f>
        <v>0</v>
      </c>
      <c r="J101" s="787"/>
      <c r="K101" s="787"/>
    </row>
    <row r="102" spans="1:11">
      <c r="A102" s="793"/>
      <c r="B102" s="796"/>
      <c r="C102" s="793"/>
      <c r="D102" s="73">
        <v>2020</v>
      </c>
      <c r="E102" s="75">
        <f>'[4]8 План18-20-2'!E226</f>
        <v>249165</v>
      </c>
      <c r="F102" s="75">
        <f>'[4]8 План18-20-2'!F226</f>
        <v>136754.6</v>
      </c>
      <c r="G102" s="75">
        <f>'[4]8 План18-20-2'!G226</f>
        <v>111471.4</v>
      </c>
      <c r="H102" s="75">
        <f>'[4]8 План18-20-2'!H226</f>
        <v>939</v>
      </c>
      <c r="I102" s="75">
        <f>'[4]8 План18-20-2'!I226</f>
        <v>0</v>
      </c>
      <c r="J102" s="788"/>
      <c r="K102" s="788"/>
    </row>
    <row r="103" spans="1:11">
      <c r="A103" s="784" t="s">
        <v>179</v>
      </c>
      <c r="B103" s="789" t="s">
        <v>103</v>
      </c>
      <c r="C103" s="784" t="s">
        <v>14</v>
      </c>
      <c r="D103" s="73" t="s">
        <v>8</v>
      </c>
      <c r="E103" s="75">
        <f>E104+E105+E106+E107+E108+E109+E110</f>
        <v>409706</v>
      </c>
      <c r="F103" s="75">
        <f>F104+F105+F106+F107+F108+F109+F110</f>
        <v>343058.60000000003</v>
      </c>
      <c r="G103" s="75">
        <f>G104+G105+G106+G107+G108+G109+G110</f>
        <v>47886</v>
      </c>
      <c r="H103" s="75">
        <f>H104+H105+H106+H107+H108+H109+H110</f>
        <v>18761.400000000001</v>
      </c>
      <c r="I103" s="75">
        <f>I104+I105+I106+I107+I108+I109+I110</f>
        <v>0</v>
      </c>
      <c r="J103" s="786" t="s">
        <v>329</v>
      </c>
      <c r="K103" s="786" t="s">
        <v>317</v>
      </c>
    </row>
    <row r="104" spans="1:11">
      <c r="A104" s="784"/>
      <c r="B104" s="789"/>
      <c r="C104" s="784"/>
      <c r="D104" s="73">
        <v>2014</v>
      </c>
      <c r="E104" s="75">
        <f>'[2]Пр14. План'!$E$817</f>
        <v>49621.8</v>
      </c>
      <c r="F104" s="75">
        <f>'[2]Пр14. План'!$F$817</f>
        <v>39448.199999999997</v>
      </c>
      <c r="G104" s="75">
        <f>'[2]Пр14. План'!$G$817</f>
        <v>8421</v>
      </c>
      <c r="H104" s="75">
        <f>'[2]Пр14. План'!$H$817</f>
        <v>1752.6</v>
      </c>
      <c r="I104" s="75">
        <f>'[2]Пр14. План'!$I$817</f>
        <v>0</v>
      </c>
      <c r="J104" s="787"/>
      <c r="K104" s="787"/>
    </row>
    <row r="105" spans="1:11">
      <c r="A105" s="784"/>
      <c r="B105" s="789"/>
      <c r="C105" s="784"/>
      <c r="D105" s="73">
        <v>2015</v>
      </c>
      <c r="E105" s="75">
        <f>'[3]план 15-17'!E338</f>
        <v>76170.799999999988</v>
      </c>
      <c r="F105" s="75">
        <f>'[3]план 15-17'!F338</f>
        <v>56408.2</v>
      </c>
      <c r="G105" s="75">
        <f>'[3]план 15-17'!G338</f>
        <v>16842</v>
      </c>
      <c r="H105" s="75">
        <f>'[3]план 15-17'!H338</f>
        <v>2920.6</v>
      </c>
      <c r="I105" s="75">
        <f>'[3]план 15-17'!I338</f>
        <v>0</v>
      </c>
      <c r="J105" s="787"/>
      <c r="K105" s="787"/>
    </row>
    <row r="106" spans="1:11">
      <c r="A106" s="784"/>
      <c r="B106" s="789"/>
      <c r="C106" s="784"/>
      <c r="D106" s="73">
        <v>2016</v>
      </c>
      <c r="E106" s="75">
        <f>F106+G106+H106+I106</f>
        <v>88741</v>
      </c>
      <c r="F106" s="75">
        <f>'[4]8 План18-20-2'!F300</f>
        <v>73734.3</v>
      </c>
      <c r="G106" s="75">
        <f>'[4]8 План18-20-2'!G300</f>
        <v>11357.5</v>
      </c>
      <c r="H106" s="75">
        <f>'[4]8 План18-20-2'!H300</f>
        <v>3649.2</v>
      </c>
      <c r="I106" s="75">
        <f>'[4]8 План18-20-2'!I300</f>
        <v>0</v>
      </c>
      <c r="J106" s="787"/>
      <c r="K106" s="787"/>
    </row>
    <row r="107" spans="1:11">
      <c r="A107" s="784"/>
      <c r="B107" s="789"/>
      <c r="C107" s="784"/>
      <c r="D107" s="73">
        <v>2017</v>
      </c>
      <c r="E107" s="75">
        <f>F107+G107+H107+I107</f>
        <v>64251.900000000009</v>
      </c>
      <c r="F107" s="75">
        <f>'[4]8 План18-20-2'!F301</f>
        <v>50265.600000000006</v>
      </c>
      <c r="G107" s="75">
        <f>'[4]8 План18-20-2'!G301</f>
        <v>11265.5</v>
      </c>
      <c r="H107" s="75">
        <f>'[4]8 План18-20-2'!H301</f>
        <v>2720.8</v>
      </c>
      <c r="I107" s="75">
        <f>'[4]8 План18-20-2'!I301</f>
        <v>0</v>
      </c>
      <c r="J107" s="787"/>
      <c r="K107" s="787"/>
    </row>
    <row r="108" spans="1:11">
      <c r="A108" s="784"/>
      <c r="B108" s="789"/>
      <c r="C108" s="784"/>
      <c r="D108" s="73">
        <v>2018</v>
      </c>
      <c r="E108" s="75">
        <f>F108+G108+H108+I108</f>
        <v>52003.3</v>
      </c>
      <c r="F108" s="75">
        <f>'[4]8 План18-20-2'!F302</f>
        <v>49477.8</v>
      </c>
      <c r="G108" s="75">
        <f>'[4]8 План18-20-2'!G302</f>
        <v>0</v>
      </c>
      <c r="H108" s="75">
        <f>'[4]8 План18-20-2'!H302</f>
        <v>2525.5</v>
      </c>
      <c r="I108" s="75">
        <f>'[4]8 План18-20-2'!I302</f>
        <v>0</v>
      </c>
      <c r="J108" s="787"/>
      <c r="K108" s="787"/>
    </row>
    <row r="109" spans="1:11">
      <c r="A109" s="784"/>
      <c r="B109" s="789"/>
      <c r="C109" s="784"/>
      <c r="D109" s="73">
        <v>2019</v>
      </c>
      <c r="E109" s="75">
        <f>F109+G109+H109+I109</f>
        <v>72917.2</v>
      </c>
      <c r="F109" s="75">
        <f>'[4]8 План18-20-2'!F303</f>
        <v>67724.5</v>
      </c>
      <c r="G109" s="75">
        <f>'[4]8 План18-20-2'!G303</f>
        <v>0</v>
      </c>
      <c r="H109" s="75">
        <f>'[4]8 План18-20-2'!H303</f>
        <v>5192.7</v>
      </c>
      <c r="I109" s="75">
        <f>'[4]8 План18-20-2'!I303</f>
        <v>0</v>
      </c>
      <c r="J109" s="787"/>
      <c r="K109" s="787"/>
    </row>
    <row r="110" spans="1:11">
      <c r="A110" s="784"/>
      <c r="B110" s="789"/>
      <c r="C110" s="784"/>
      <c r="D110" s="73">
        <v>2020</v>
      </c>
      <c r="E110" s="75">
        <f>F110+G110+H110+I110</f>
        <v>6000</v>
      </c>
      <c r="F110" s="75">
        <f>'[4]8 План18-20-2'!F304</f>
        <v>6000</v>
      </c>
      <c r="G110" s="75">
        <f>'[4]8 План18-20-2'!G304</f>
        <v>0</v>
      </c>
      <c r="H110" s="75">
        <f>'[4]8 План18-20-2'!H304</f>
        <v>0</v>
      </c>
      <c r="I110" s="75">
        <f>'[4]8 План18-20-2'!I304</f>
        <v>0</v>
      </c>
      <c r="J110" s="787"/>
      <c r="K110" s="787"/>
    </row>
    <row r="111" spans="1:11">
      <c r="A111" s="784" t="s">
        <v>296</v>
      </c>
      <c r="B111" s="789" t="s">
        <v>297</v>
      </c>
      <c r="C111" s="784" t="s">
        <v>187</v>
      </c>
      <c r="D111" s="73" t="s">
        <v>8</v>
      </c>
      <c r="E111" s="75">
        <f>E112+E113+E114+E115+E116+E117+E118</f>
        <v>283000</v>
      </c>
      <c r="F111" s="75">
        <f>F112+F113+F114+F115+F116+F117+F118</f>
        <v>122350</v>
      </c>
      <c r="G111" s="75">
        <f>G112+G113+G114+G115+G116+G117+G118</f>
        <v>0</v>
      </c>
      <c r="H111" s="75">
        <f>H112+H113+H114+H115+H116+H117+H118</f>
        <v>132350</v>
      </c>
      <c r="I111" s="75">
        <f>I112+I113+I114+I115+I116+I117+I118</f>
        <v>28300</v>
      </c>
      <c r="J111" s="786" t="s">
        <v>329</v>
      </c>
      <c r="K111" s="786" t="s">
        <v>317</v>
      </c>
    </row>
    <row r="112" spans="1:11">
      <c r="A112" s="784"/>
      <c r="B112" s="789"/>
      <c r="C112" s="784"/>
      <c r="D112" s="73">
        <v>2014</v>
      </c>
      <c r="E112" s="75">
        <f t="shared" ref="E112:E118" si="3">F112+G112+H112+I112</f>
        <v>0</v>
      </c>
      <c r="F112" s="75">
        <v>0</v>
      </c>
      <c r="G112" s="75">
        <v>0</v>
      </c>
      <c r="H112" s="75">
        <v>0</v>
      </c>
      <c r="I112" s="75">
        <v>0</v>
      </c>
      <c r="J112" s="787"/>
      <c r="K112" s="787"/>
    </row>
    <row r="113" spans="1:11">
      <c r="A113" s="784"/>
      <c r="B113" s="789"/>
      <c r="C113" s="784"/>
      <c r="D113" s="73">
        <v>2015</v>
      </c>
      <c r="E113" s="75">
        <f t="shared" si="3"/>
        <v>0</v>
      </c>
      <c r="F113" s="75">
        <v>0</v>
      </c>
      <c r="G113" s="75">
        <v>0</v>
      </c>
      <c r="H113" s="75">
        <v>0</v>
      </c>
      <c r="I113" s="75">
        <v>0</v>
      </c>
      <c r="J113" s="787"/>
      <c r="K113" s="787"/>
    </row>
    <row r="114" spans="1:11">
      <c r="A114" s="784"/>
      <c r="B114" s="789"/>
      <c r="C114" s="784"/>
      <c r="D114" s="73">
        <v>2016</v>
      </c>
      <c r="E114" s="75">
        <f t="shared" si="3"/>
        <v>0</v>
      </c>
      <c r="F114" s="75">
        <f>'[4]8 План18-20-2'!F414</f>
        <v>0</v>
      </c>
      <c r="G114" s="75">
        <f>'[4]8 План18-20-2'!G414</f>
        <v>0</v>
      </c>
      <c r="H114" s="75">
        <f>'[4]8 План18-20-2'!H414</f>
        <v>0</v>
      </c>
      <c r="I114" s="75">
        <f>'[4]8 План18-20-2'!I414</f>
        <v>0</v>
      </c>
      <c r="J114" s="787"/>
      <c r="K114" s="787"/>
    </row>
    <row r="115" spans="1:11">
      <c r="A115" s="784"/>
      <c r="B115" s="789"/>
      <c r="C115" s="784"/>
      <c r="D115" s="73">
        <v>2017</v>
      </c>
      <c r="E115" s="75">
        <f t="shared" si="3"/>
        <v>0</v>
      </c>
      <c r="F115" s="75">
        <f>'[4]8 План18-20-2'!F415</f>
        <v>0</v>
      </c>
      <c r="G115" s="75">
        <f>'[4]8 План18-20-2'!G415</f>
        <v>0</v>
      </c>
      <c r="H115" s="75">
        <f>'[4]8 План18-20-2'!H415</f>
        <v>0</v>
      </c>
      <c r="I115" s="75">
        <f>'[4]8 План18-20-2'!I415</f>
        <v>0</v>
      </c>
      <c r="J115" s="787"/>
      <c r="K115" s="787"/>
    </row>
    <row r="116" spans="1:11">
      <c r="A116" s="784"/>
      <c r="B116" s="789"/>
      <c r="C116" s="784"/>
      <c r="D116" s="73">
        <v>2018</v>
      </c>
      <c r="E116" s="75">
        <f t="shared" si="3"/>
        <v>10000</v>
      </c>
      <c r="F116" s="75">
        <f>'[4]8 План18-20-2'!F416</f>
        <v>0</v>
      </c>
      <c r="G116" s="75">
        <f>'[4]8 План18-20-2'!G416</f>
        <v>0</v>
      </c>
      <c r="H116" s="75">
        <f>'[4]8 План18-20-2'!H416</f>
        <v>10000</v>
      </c>
      <c r="I116" s="75">
        <f>'[4]8 План18-20-2'!I416</f>
        <v>0</v>
      </c>
      <c r="J116" s="787"/>
      <c r="K116" s="787"/>
    </row>
    <row r="117" spans="1:11">
      <c r="A117" s="784"/>
      <c r="B117" s="789"/>
      <c r="C117" s="784"/>
      <c r="D117" s="73">
        <v>2019</v>
      </c>
      <c r="E117" s="75">
        <f t="shared" si="3"/>
        <v>148300</v>
      </c>
      <c r="F117" s="75">
        <f>'[4]8 План18-20-2'!F417</f>
        <v>60000</v>
      </c>
      <c r="G117" s="75">
        <f>'[4]8 План18-20-2'!G417</f>
        <v>0</v>
      </c>
      <c r="H117" s="75">
        <f>'[4]8 План18-20-2'!H417</f>
        <v>60000</v>
      </c>
      <c r="I117" s="75">
        <f>'[4]8 План18-20-2'!I417</f>
        <v>28300</v>
      </c>
      <c r="J117" s="787"/>
      <c r="K117" s="787"/>
    </row>
    <row r="118" spans="1:11">
      <c r="A118" s="784"/>
      <c r="B118" s="789"/>
      <c r="C118" s="784"/>
      <c r="D118" s="73">
        <v>2020</v>
      </c>
      <c r="E118" s="75">
        <f t="shared" si="3"/>
        <v>124700</v>
      </c>
      <c r="F118" s="75">
        <f>'[4]8 План18-20-2'!F418</f>
        <v>62350</v>
      </c>
      <c r="G118" s="75">
        <f>'[4]8 План18-20-2'!G418</f>
        <v>0</v>
      </c>
      <c r="H118" s="75">
        <f>'[4]8 План18-20-2'!H418</f>
        <v>62350</v>
      </c>
      <c r="I118" s="75">
        <f>'[4]8 План18-20-2'!I418</f>
        <v>0</v>
      </c>
      <c r="J118" s="787"/>
      <c r="K118" s="787"/>
    </row>
    <row r="119" spans="1:11">
      <c r="A119" s="784">
        <v>4</v>
      </c>
      <c r="B119" s="790" t="s">
        <v>130</v>
      </c>
      <c r="C119" s="784" t="s">
        <v>14</v>
      </c>
      <c r="D119" s="73" t="s">
        <v>8</v>
      </c>
      <c r="E119" s="75">
        <f>E120+E121+E122+E123+E124+E125+E126</f>
        <v>185497.59999999998</v>
      </c>
      <c r="F119" s="75">
        <f>F120+F121+F122+F123+F124+F125+F126</f>
        <v>185497.59999999998</v>
      </c>
      <c r="G119" s="75">
        <f>G120+G121+G122+G123+G124+G125+G126</f>
        <v>0</v>
      </c>
      <c r="H119" s="75">
        <f>H120+H121+H122+H123+H124+H125+H126</f>
        <v>0</v>
      </c>
      <c r="I119" s="75">
        <f>I120+I121+I122+I123+I124+I125+I126</f>
        <v>0</v>
      </c>
      <c r="J119" s="786"/>
      <c r="K119" s="786" t="s">
        <v>26</v>
      </c>
    </row>
    <row r="120" spans="1:11">
      <c r="A120" s="784"/>
      <c r="B120" s="790"/>
      <c r="C120" s="784"/>
      <c r="D120" s="73">
        <v>2014</v>
      </c>
      <c r="E120" s="75">
        <f>'[2]Пр14. План'!$E$889</f>
        <v>25437.3</v>
      </c>
      <c r="F120" s="75">
        <f>'[2]Пр14. План'!$F$889</f>
        <v>25437.3</v>
      </c>
      <c r="G120" s="75">
        <f>'[2]Пр14. План'!$G$889</f>
        <v>0</v>
      </c>
      <c r="H120" s="75">
        <f>'[2]Пр14. План'!$H$889</f>
        <v>0</v>
      </c>
      <c r="I120" s="75">
        <f>'[2]Пр14. План'!$I$889</f>
        <v>0</v>
      </c>
      <c r="J120" s="787"/>
      <c r="K120" s="787"/>
    </row>
    <row r="121" spans="1:11">
      <c r="A121" s="784"/>
      <c r="B121" s="790"/>
      <c r="C121" s="784"/>
      <c r="D121" s="73">
        <v>2015</v>
      </c>
      <c r="E121" s="75">
        <f>E129</f>
        <v>24016.899999999998</v>
      </c>
      <c r="F121" s="75">
        <f>F129</f>
        <v>24016.899999999998</v>
      </c>
      <c r="G121" s="75">
        <f>G129</f>
        <v>0</v>
      </c>
      <c r="H121" s="75">
        <f>H129</f>
        <v>0</v>
      </c>
      <c r="I121" s="75">
        <f>I129</f>
        <v>0</v>
      </c>
      <c r="J121" s="787"/>
      <c r="K121" s="787"/>
    </row>
    <row r="122" spans="1:11">
      <c r="A122" s="784"/>
      <c r="B122" s="790"/>
      <c r="C122" s="784"/>
      <c r="D122" s="73">
        <v>2016</v>
      </c>
      <c r="E122" s="75">
        <f>'[4]8 План18-20-2'!E432</f>
        <v>25539.5</v>
      </c>
      <c r="F122" s="75">
        <f>'[4]8 План18-20-2'!F432</f>
        <v>25539.5</v>
      </c>
      <c r="G122" s="75">
        <f>'[4]8 План18-20-2'!G432</f>
        <v>0</v>
      </c>
      <c r="H122" s="75">
        <f>'[4]8 План18-20-2'!H432</f>
        <v>0</v>
      </c>
      <c r="I122" s="75">
        <f>'[4]8 План18-20-2'!I432</f>
        <v>0</v>
      </c>
      <c r="J122" s="787"/>
      <c r="K122" s="787"/>
    </row>
    <row r="123" spans="1:11">
      <c r="A123" s="784"/>
      <c r="B123" s="790"/>
      <c r="C123" s="784"/>
      <c r="D123" s="73">
        <v>2017</v>
      </c>
      <c r="E123" s="75">
        <f>'[4]8 План18-20-2'!E433</f>
        <v>25743.200000000001</v>
      </c>
      <c r="F123" s="75">
        <f>'[4]8 План18-20-2'!F433</f>
        <v>25743.200000000001</v>
      </c>
      <c r="G123" s="75">
        <f>'[4]8 План18-20-2'!G433</f>
        <v>0</v>
      </c>
      <c r="H123" s="75">
        <f>'[4]8 План18-20-2'!H433</f>
        <v>0</v>
      </c>
      <c r="I123" s="75">
        <f>'[4]8 План18-20-2'!I433</f>
        <v>0</v>
      </c>
      <c r="J123" s="787"/>
      <c r="K123" s="787"/>
    </row>
    <row r="124" spans="1:11">
      <c r="A124" s="784"/>
      <c r="B124" s="790"/>
      <c r="C124" s="784"/>
      <c r="D124" s="73">
        <v>2018</v>
      </c>
      <c r="E124" s="75">
        <f>'[4]8 План18-20-2'!E434</f>
        <v>28265.200000000001</v>
      </c>
      <c r="F124" s="75">
        <f>'[4]8 План18-20-2'!F434</f>
        <v>28265.200000000001</v>
      </c>
      <c r="G124" s="75">
        <f>'[4]8 План18-20-2'!G434</f>
        <v>0</v>
      </c>
      <c r="H124" s="75">
        <f>'[4]8 План18-20-2'!H434</f>
        <v>0</v>
      </c>
      <c r="I124" s="75">
        <f>'[4]8 План18-20-2'!I434</f>
        <v>0</v>
      </c>
      <c r="J124" s="787"/>
      <c r="K124" s="787"/>
    </row>
    <row r="125" spans="1:11">
      <c r="A125" s="784"/>
      <c r="B125" s="790"/>
      <c r="C125" s="784"/>
      <c r="D125" s="73">
        <v>2019</v>
      </c>
      <c r="E125" s="75">
        <f>'[4]8 План18-20-2'!E435</f>
        <v>27726</v>
      </c>
      <c r="F125" s="75">
        <f>'[4]8 План18-20-2'!F435</f>
        <v>27726</v>
      </c>
      <c r="G125" s="75">
        <f>'[4]8 План18-20-2'!G435</f>
        <v>0</v>
      </c>
      <c r="H125" s="75">
        <f>'[4]8 План18-20-2'!H435</f>
        <v>0</v>
      </c>
      <c r="I125" s="75">
        <f>'[4]8 План18-20-2'!I435</f>
        <v>0</v>
      </c>
      <c r="J125" s="787"/>
      <c r="K125" s="787"/>
    </row>
    <row r="126" spans="1:11">
      <c r="A126" s="784"/>
      <c r="B126" s="790"/>
      <c r="C126" s="784"/>
      <c r="D126" s="73">
        <v>2020</v>
      </c>
      <c r="E126" s="75">
        <f>'[4]8 План18-20-2'!E436</f>
        <v>28769.5</v>
      </c>
      <c r="F126" s="75">
        <f>'[4]8 План18-20-2'!F436</f>
        <v>28769.5</v>
      </c>
      <c r="G126" s="75">
        <f>'[4]8 План18-20-2'!G436</f>
        <v>0</v>
      </c>
      <c r="H126" s="75">
        <f>'[4]8 План18-20-2'!H436</f>
        <v>0</v>
      </c>
      <c r="I126" s="75">
        <f>'[4]8 План18-20-2'!I436</f>
        <v>0</v>
      </c>
      <c r="J126" s="787"/>
      <c r="K126" s="787"/>
    </row>
    <row r="127" spans="1:11">
      <c r="A127" s="784" t="s">
        <v>131</v>
      </c>
      <c r="B127" s="789" t="s">
        <v>132</v>
      </c>
      <c r="C127" s="784" t="s">
        <v>14</v>
      </c>
      <c r="D127" s="73" t="s">
        <v>8</v>
      </c>
      <c r="E127" s="75">
        <f>E128+E129+E130+E131+E132+E133+E134</f>
        <v>185497.59999999998</v>
      </c>
      <c r="F127" s="75">
        <f>F128+F129+F130+F131+F132+F133+F134</f>
        <v>185497.59999999998</v>
      </c>
      <c r="G127" s="75">
        <f>G128+G129+G130+G131+G132+G133+G134</f>
        <v>0</v>
      </c>
      <c r="H127" s="75">
        <f>H128+H129+H130+H131+H132+H133+H134</f>
        <v>0</v>
      </c>
      <c r="I127" s="75">
        <f>I128+I129+I130+I131+I132+I133+I134</f>
        <v>0</v>
      </c>
      <c r="J127" s="786"/>
      <c r="K127" s="786" t="s">
        <v>26</v>
      </c>
    </row>
    <row r="128" spans="1:11">
      <c r="A128" s="784"/>
      <c r="B128" s="789"/>
      <c r="C128" s="784"/>
      <c r="D128" s="73">
        <v>2014</v>
      </c>
      <c r="E128" s="75">
        <f>'[2]Пр14. План'!$E$897</f>
        <v>25437.3</v>
      </c>
      <c r="F128" s="75">
        <f>'[2]Пр14. План'!$F$897</f>
        <v>25437.3</v>
      </c>
      <c r="G128" s="75">
        <f>'[2]Пр14. План'!$G$897</f>
        <v>0</v>
      </c>
      <c r="H128" s="75">
        <f>'[2]Пр14. План'!$H$897</f>
        <v>0</v>
      </c>
      <c r="I128" s="75">
        <f>'[2]Пр14. План'!$I$897</f>
        <v>0</v>
      </c>
      <c r="J128" s="787"/>
      <c r="K128" s="787"/>
    </row>
    <row r="129" spans="1:11">
      <c r="A129" s="784"/>
      <c r="B129" s="789"/>
      <c r="C129" s="784"/>
      <c r="D129" s="73">
        <v>2015</v>
      </c>
      <c r="E129" s="75">
        <f t="shared" ref="E129:E134" si="4">F129+G129+H129+I129</f>
        <v>24016.899999999998</v>
      </c>
      <c r="F129" s="75">
        <f>'[3]план 15-17'!F382</f>
        <v>24016.899999999998</v>
      </c>
      <c r="G129" s="75">
        <f>'[3]план 15-17'!G382</f>
        <v>0</v>
      </c>
      <c r="H129" s="75">
        <f>'[3]план 15-17'!H382</f>
        <v>0</v>
      </c>
      <c r="I129" s="75">
        <f>'[3]план 15-17'!I382</f>
        <v>0</v>
      </c>
      <c r="J129" s="787"/>
      <c r="K129" s="787"/>
    </row>
    <row r="130" spans="1:11">
      <c r="A130" s="784"/>
      <c r="B130" s="789"/>
      <c r="C130" s="784"/>
      <c r="D130" s="73">
        <v>2016</v>
      </c>
      <c r="E130" s="75">
        <f t="shared" si="4"/>
        <v>25539.5</v>
      </c>
      <c r="F130" s="75">
        <f>'[4]8 План18-20-2'!F432</f>
        <v>25539.5</v>
      </c>
      <c r="G130" s="75">
        <f>'[4]8 План18-20-2'!G432</f>
        <v>0</v>
      </c>
      <c r="H130" s="75">
        <f>'[4]8 План18-20-2'!H432</f>
        <v>0</v>
      </c>
      <c r="I130" s="75">
        <f>'[4]8 План18-20-2'!I432</f>
        <v>0</v>
      </c>
      <c r="J130" s="787"/>
      <c r="K130" s="787"/>
    </row>
    <row r="131" spans="1:11">
      <c r="A131" s="784"/>
      <c r="B131" s="789"/>
      <c r="C131" s="784"/>
      <c r="D131" s="73">
        <v>2017</v>
      </c>
      <c r="E131" s="75">
        <f t="shared" si="4"/>
        <v>25743.200000000001</v>
      </c>
      <c r="F131" s="75">
        <f>'[4]8 План18-20-2'!F433</f>
        <v>25743.200000000001</v>
      </c>
      <c r="G131" s="75">
        <f>'[4]8 План18-20-2'!G433</f>
        <v>0</v>
      </c>
      <c r="H131" s="75">
        <f>'[4]8 План18-20-2'!H433</f>
        <v>0</v>
      </c>
      <c r="I131" s="75">
        <f>'[4]8 План18-20-2'!I433</f>
        <v>0</v>
      </c>
      <c r="J131" s="787"/>
      <c r="K131" s="787"/>
    </row>
    <row r="132" spans="1:11">
      <c r="A132" s="784"/>
      <c r="B132" s="789"/>
      <c r="C132" s="784"/>
      <c r="D132" s="73">
        <v>2018</v>
      </c>
      <c r="E132" s="75">
        <f t="shared" si="4"/>
        <v>28265.200000000001</v>
      </c>
      <c r="F132" s="75">
        <f>'[4]8 План18-20-2'!F434</f>
        <v>28265.200000000001</v>
      </c>
      <c r="G132" s="75">
        <f>'[4]8 План18-20-2'!G434</f>
        <v>0</v>
      </c>
      <c r="H132" s="75">
        <f>'[4]8 План18-20-2'!H434</f>
        <v>0</v>
      </c>
      <c r="I132" s="75">
        <f>'[4]8 План18-20-2'!I434</f>
        <v>0</v>
      </c>
      <c r="J132" s="787"/>
      <c r="K132" s="787"/>
    </row>
    <row r="133" spans="1:11">
      <c r="A133" s="784"/>
      <c r="B133" s="789"/>
      <c r="C133" s="784"/>
      <c r="D133" s="73">
        <v>2019</v>
      </c>
      <c r="E133" s="75">
        <f t="shared" si="4"/>
        <v>27726</v>
      </c>
      <c r="F133" s="75">
        <f>'[4]8 План18-20-2'!F435</f>
        <v>27726</v>
      </c>
      <c r="G133" s="75">
        <f>'[4]8 План18-20-2'!G435</f>
        <v>0</v>
      </c>
      <c r="H133" s="75">
        <f>'[4]8 План18-20-2'!H435</f>
        <v>0</v>
      </c>
      <c r="I133" s="75">
        <f>'[4]8 План18-20-2'!I435</f>
        <v>0</v>
      </c>
      <c r="J133" s="787"/>
      <c r="K133" s="787"/>
    </row>
    <row r="134" spans="1:11">
      <c r="A134" s="784"/>
      <c r="B134" s="789"/>
      <c r="C134" s="784"/>
      <c r="D134" s="73">
        <v>2020</v>
      </c>
      <c r="E134" s="75">
        <f t="shared" si="4"/>
        <v>28769.5</v>
      </c>
      <c r="F134" s="75">
        <f>'[4]8 План18-20-2'!F436</f>
        <v>28769.5</v>
      </c>
      <c r="G134" s="75">
        <f>'[4]8 План18-20-2'!G436</f>
        <v>0</v>
      </c>
      <c r="H134" s="75">
        <f>'[4]8 План18-20-2'!H436</f>
        <v>0</v>
      </c>
      <c r="I134" s="75">
        <f>'[4]8 План18-20-2'!I436</f>
        <v>0</v>
      </c>
      <c r="J134" s="788"/>
      <c r="K134" s="788"/>
    </row>
  </sheetData>
  <mergeCells count="87">
    <mergeCell ref="A119:A126"/>
    <mergeCell ref="B119:B126"/>
    <mergeCell ref="C119:C126"/>
    <mergeCell ref="J119:J126"/>
    <mergeCell ref="K119:K126"/>
    <mergeCell ref="A127:A134"/>
    <mergeCell ref="B127:B134"/>
    <mergeCell ref="C127:C134"/>
    <mergeCell ref="J127:J134"/>
    <mergeCell ref="K127:K134"/>
    <mergeCell ref="A103:A110"/>
    <mergeCell ref="B103:B110"/>
    <mergeCell ref="C103:C110"/>
    <mergeCell ref="J103:J110"/>
    <mergeCell ref="K103:K110"/>
    <mergeCell ref="A111:A118"/>
    <mergeCell ref="B111:B118"/>
    <mergeCell ref="C111:C118"/>
    <mergeCell ref="J111:J118"/>
    <mergeCell ref="K111:K118"/>
    <mergeCell ref="A87:A94"/>
    <mergeCell ref="B87:B94"/>
    <mergeCell ref="C87:C94"/>
    <mergeCell ref="J87:J94"/>
    <mergeCell ref="K87:K94"/>
    <mergeCell ref="A95:A102"/>
    <mergeCell ref="B95:B102"/>
    <mergeCell ref="C95:C102"/>
    <mergeCell ref="J95:J102"/>
    <mergeCell ref="K95:K102"/>
    <mergeCell ref="A71:A78"/>
    <mergeCell ref="B71:B78"/>
    <mergeCell ref="C71:C78"/>
    <mergeCell ref="J71:J78"/>
    <mergeCell ref="K71:K78"/>
    <mergeCell ref="A79:A86"/>
    <mergeCell ref="B79:B86"/>
    <mergeCell ref="C79:C86"/>
    <mergeCell ref="J79:J86"/>
    <mergeCell ref="K79:K86"/>
    <mergeCell ref="A55:A62"/>
    <mergeCell ref="B55:B62"/>
    <mergeCell ref="C55:C62"/>
    <mergeCell ref="J55:J62"/>
    <mergeCell ref="K55:K62"/>
    <mergeCell ref="A63:A70"/>
    <mergeCell ref="B63:B70"/>
    <mergeCell ref="C63:C70"/>
    <mergeCell ref="J63:J70"/>
    <mergeCell ref="K63:K70"/>
    <mergeCell ref="A39:A46"/>
    <mergeCell ref="B39:B46"/>
    <mergeCell ref="C39:C46"/>
    <mergeCell ref="J39:J46"/>
    <mergeCell ref="K39:K46"/>
    <mergeCell ref="A47:A54"/>
    <mergeCell ref="B47:B54"/>
    <mergeCell ref="C47:C54"/>
    <mergeCell ref="J47:J54"/>
    <mergeCell ref="K47:K54"/>
    <mergeCell ref="A23:A30"/>
    <mergeCell ref="B23:B30"/>
    <mergeCell ref="C23:C30"/>
    <mergeCell ref="J23:J30"/>
    <mergeCell ref="K23:K30"/>
    <mergeCell ref="A31:A38"/>
    <mergeCell ref="B31:B38"/>
    <mergeCell ref="C31:C38"/>
    <mergeCell ref="J31:J38"/>
    <mergeCell ref="K31:K38"/>
    <mergeCell ref="A7:A14"/>
    <mergeCell ref="B7:B14"/>
    <mergeCell ref="C7:C14"/>
    <mergeCell ref="J7:J14"/>
    <mergeCell ref="K7:K14"/>
    <mergeCell ref="A15:A22"/>
    <mergeCell ref="B15:B22"/>
    <mergeCell ref="C15:C22"/>
    <mergeCell ref="J15:J22"/>
    <mergeCell ref="K15:K22"/>
    <mergeCell ref="A3:K3"/>
    <mergeCell ref="A5:A6"/>
    <mergeCell ref="B5:B6"/>
    <mergeCell ref="C5:C6"/>
    <mergeCell ref="D5:I5"/>
    <mergeCell ref="J5:J6"/>
    <mergeCell ref="K5:K6"/>
  </mergeCells>
  <pageMargins left="0.39" right="0.21" top="0.55000000000000004" bottom="0.44"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
  <sheetViews>
    <sheetView topLeftCell="A33" zoomScale="80" zoomScaleNormal="80" workbookViewId="0">
      <selection activeCell="C88" sqref="C88"/>
    </sheetView>
  </sheetViews>
  <sheetFormatPr defaultColWidth="8.85546875" defaultRowHeight="12.75"/>
  <cols>
    <col min="1" max="1" width="9.7109375" style="120" customWidth="1"/>
    <col min="2" max="2" width="57.42578125" style="120" customWidth="1"/>
    <col min="3" max="3" width="20.140625" style="120" customWidth="1"/>
    <col min="4" max="4" width="19.42578125" style="120" customWidth="1"/>
    <col min="5" max="5" width="10.85546875" style="120" customWidth="1"/>
    <col min="6" max="6" width="23.7109375" style="120" customWidth="1"/>
    <col min="7" max="7" width="18.7109375" style="120" customWidth="1"/>
    <col min="8" max="8" width="17.7109375" style="120" customWidth="1"/>
    <col min="9" max="256" width="9.140625" style="120"/>
    <col min="257" max="257" width="9.7109375" style="120" customWidth="1"/>
    <col min="258" max="258" width="57.42578125" style="120" customWidth="1"/>
    <col min="259" max="259" width="20.140625" style="120" customWidth="1"/>
    <col min="260" max="260" width="19.42578125" style="120" customWidth="1"/>
    <col min="261" max="261" width="9.7109375" style="120" customWidth="1"/>
    <col min="262" max="262" width="23.7109375" style="120" customWidth="1"/>
    <col min="263" max="263" width="18.7109375" style="120" customWidth="1"/>
    <col min="264" max="264" width="17.7109375" style="120" customWidth="1"/>
    <col min="265" max="512" width="9.140625" style="120"/>
    <col min="513" max="513" width="9.7109375" style="120" customWidth="1"/>
    <col min="514" max="514" width="57.42578125" style="120" customWidth="1"/>
    <col min="515" max="515" width="20.140625" style="120" customWidth="1"/>
    <col min="516" max="516" width="19.42578125" style="120" customWidth="1"/>
    <col min="517" max="517" width="9.7109375" style="120" customWidth="1"/>
    <col min="518" max="518" width="23.7109375" style="120" customWidth="1"/>
    <col min="519" max="519" width="18.7109375" style="120" customWidth="1"/>
    <col min="520" max="520" width="17.7109375" style="120" customWidth="1"/>
    <col min="521" max="768" width="9.140625" style="120"/>
    <col min="769" max="769" width="9.7109375" style="120" customWidth="1"/>
    <col min="770" max="770" width="57.42578125" style="120" customWidth="1"/>
    <col min="771" max="771" width="20.140625" style="120" customWidth="1"/>
    <col min="772" max="772" width="19.42578125" style="120" customWidth="1"/>
    <col min="773" max="773" width="9.7109375" style="120" customWidth="1"/>
    <col min="774" max="774" width="23.7109375" style="120" customWidth="1"/>
    <col min="775" max="775" width="18.7109375" style="120" customWidth="1"/>
    <col min="776" max="776" width="17.7109375" style="120" customWidth="1"/>
    <col min="777" max="1024" width="9.140625" style="120"/>
    <col min="1025" max="1025" width="9.7109375" style="120" customWidth="1"/>
    <col min="1026" max="1026" width="57.42578125" style="120" customWidth="1"/>
    <col min="1027" max="1027" width="20.140625" style="120" customWidth="1"/>
    <col min="1028" max="1028" width="19.42578125" style="120" customWidth="1"/>
    <col min="1029" max="1029" width="9.7109375" style="120" customWidth="1"/>
    <col min="1030" max="1030" width="23.7109375" style="120" customWidth="1"/>
    <col min="1031" max="1031" width="18.7109375" style="120" customWidth="1"/>
    <col min="1032" max="1032" width="17.7109375" style="120" customWidth="1"/>
    <col min="1033" max="1280" width="9.140625" style="120"/>
    <col min="1281" max="1281" width="9.7109375" style="120" customWidth="1"/>
    <col min="1282" max="1282" width="57.42578125" style="120" customWidth="1"/>
    <col min="1283" max="1283" width="20.140625" style="120" customWidth="1"/>
    <col min="1284" max="1284" width="19.42578125" style="120" customWidth="1"/>
    <col min="1285" max="1285" width="9.7109375" style="120" customWidth="1"/>
    <col min="1286" max="1286" width="23.7109375" style="120" customWidth="1"/>
    <col min="1287" max="1287" width="18.7109375" style="120" customWidth="1"/>
    <col min="1288" max="1288" width="17.7109375" style="120" customWidth="1"/>
    <col min="1289" max="1536" width="9.140625" style="120"/>
    <col min="1537" max="1537" width="9.7109375" style="120" customWidth="1"/>
    <col min="1538" max="1538" width="57.42578125" style="120" customWidth="1"/>
    <col min="1539" max="1539" width="20.140625" style="120" customWidth="1"/>
    <col min="1540" max="1540" width="19.42578125" style="120" customWidth="1"/>
    <col min="1541" max="1541" width="9.7109375" style="120" customWidth="1"/>
    <col min="1542" max="1542" width="23.7109375" style="120" customWidth="1"/>
    <col min="1543" max="1543" width="18.7109375" style="120" customWidth="1"/>
    <col min="1544" max="1544" width="17.7109375" style="120" customWidth="1"/>
    <col min="1545" max="1792" width="9.140625" style="120"/>
    <col min="1793" max="1793" width="9.7109375" style="120" customWidth="1"/>
    <col min="1794" max="1794" width="57.42578125" style="120" customWidth="1"/>
    <col min="1795" max="1795" width="20.140625" style="120" customWidth="1"/>
    <col min="1796" max="1796" width="19.42578125" style="120" customWidth="1"/>
    <col min="1797" max="1797" width="9.7109375" style="120" customWidth="1"/>
    <col min="1798" max="1798" width="23.7109375" style="120" customWidth="1"/>
    <col min="1799" max="1799" width="18.7109375" style="120" customWidth="1"/>
    <col min="1800" max="1800" width="17.7109375" style="120" customWidth="1"/>
    <col min="1801" max="2048" width="9.140625" style="120"/>
    <col min="2049" max="2049" width="9.7109375" style="120" customWidth="1"/>
    <col min="2050" max="2050" width="57.42578125" style="120" customWidth="1"/>
    <col min="2051" max="2051" width="20.140625" style="120" customWidth="1"/>
    <col min="2052" max="2052" width="19.42578125" style="120" customWidth="1"/>
    <col min="2053" max="2053" width="9.7109375" style="120" customWidth="1"/>
    <col min="2054" max="2054" width="23.7109375" style="120" customWidth="1"/>
    <col min="2055" max="2055" width="18.7109375" style="120" customWidth="1"/>
    <col min="2056" max="2056" width="17.7109375" style="120" customWidth="1"/>
    <col min="2057" max="2304" width="9.140625" style="120"/>
    <col min="2305" max="2305" width="9.7109375" style="120" customWidth="1"/>
    <col min="2306" max="2306" width="57.42578125" style="120" customWidth="1"/>
    <col min="2307" max="2307" width="20.140625" style="120" customWidth="1"/>
    <col min="2308" max="2308" width="19.42578125" style="120" customWidth="1"/>
    <col min="2309" max="2309" width="9.7109375" style="120" customWidth="1"/>
    <col min="2310" max="2310" width="23.7109375" style="120" customWidth="1"/>
    <col min="2311" max="2311" width="18.7109375" style="120" customWidth="1"/>
    <col min="2312" max="2312" width="17.7109375" style="120" customWidth="1"/>
    <col min="2313" max="2560" width="9.140625" style="120"/>
    <col min="2561" max="2561" width="9.7109375" style="120" customWidth="1"/>
    <col min="2562" max="2562" width="57.42578125" style="120" customWidth="1"/>
    <col min="2563" max="2563" width="20.140625" style="120" customWidth="1"/>
    <col min="2564" max="2564" width="19.42578125" style="120" customWidth="1"/>
    <col min="2565" max="2565" width="9.7109375" style="120" customWidth="1"/>
    <col min="2566" max="2566" width="23.7109375" style="120" customWidth="1"/>
    <col min="2567" max="2567" width="18.7109375" style="120" customWidth="1"/>
    <col min="2568" max="2568" width="17.7109375" style="120" customWidth="1"/>
    <col min="2569" max="2816" width="9.140625" style="120"/>
    <col min="2817" max="2817" width="9.7109375" style="120" customWidth="1"/>
    <col min="2818" max="2818" width="57.42578125" style="120" customWidth="1"/>
    <col min="2819" max="2819" width="20.140625" style="120" customWidth="1"/>
    <col min="2820" max="2820" width="19.42578125" style="120" customWidth="1"/>
    <col min="2821" max="2821" width="9.7109375" style="120" customWidth="1"/>
    <col min="2822" max="2822" width="23.7109375" style="120" customWidth="1"/>
    <col min="2823" max="2823" width="18.7109375" style="120" customWidth="1"/>
    <col min="2824" max="2824" width="17.7109375" style="120" customWidth="1"/>
    <col min="2825" max="3072" width="9.140625" style="120"/>
    <col min="3073" max="3073" width="9.7109375" style="120" customWidth="1"/>
    <col min="3074" max="3074" width="57.42578125" style="120" customWidth="1"/>
    <col min="3075" max="3075" width="20.140625" style="120" customWidth="1"/>
    <col min="3076" max="3076" width="19.42578125" style="120" customWidth="1"/>
    <col min="3077" max="3077" width="9.7109375" style="120" customWidth="1"/>
    <col min="3078" max="3078" width="23.7109375" style="120" customWidth="1"/>
    <col min="3079" max="3079" width="18.7109375" style="120" customWidth="1"/>
    <col min="3080" max="3080" width="17.7109375" style="120" customWidth="1"/>
    <col min="3081" max="3328" width="9.140625" style="120"/>
    <col min="3329" max="3329" width="9.7109375" style="120" customWidth="1"/>
    <col min="3330" max="3330" width="57.42578125" style="120" customWidth="1"/>
    <col min="3331" max="3331" width="20.140625" style="120" customWidth="1"/>
    <col min="3332" max="3332" width="19.42578125" style="120" customWidth="1"/>
    <col min="3333" max="3333" width="9.7109375" style="120" customWidth="1"/>
    <col min="3334" max="3334" width="23.7109375" style="120" customWidth="1"/>
    <col min="3335" max="3335" width="18.7109375" style="120" customWidth="1"/>
    <col min="3336" max="3336" width="17.7109375" style="120" customWidth="1"/>
    <col min="3337" max="3584" width="9.140625" style="120"/>
    <col min="3585" max="3585" width="9.7109375" style="120" customWidth="1"/>
    <col min="3586" max="3586" width="57.42578125" style="120" customWidth="1"/>
    <col min="3587" max="3587" width="20.140625" style="120" customWidth="1"/>
    <col min="3588" max="3588" width="19.42578125" style="120" customWidth="1"/>
    <col min="3589" max="3589" width="9.7109375" style="120" customWidth="1"/>
    <col min="3590" max="3590" width="23.7109375" style="120" customWidth="1"/>
    <col min="3591" max="3591" width="18.7109375" style="120" customWidth="1"/>
    <col min="3592" max="3592" width="17.7109375" style="120" customWidth="1"/>
    <col min="3593" max="3840" width="9.140625" style="120"/>
    <col min="3841" max="3841" width="9.7109375" style="120" customWidth="1"/>
    <col min="3842" max="3842" width="57.42578125" style="120" customWidth="1"/>
    <col min="3843" max="3843" width="20.140625" style="120" customWidth="1"/>
    <col min="3844" max="3844" width="19.42578125" style="120" customWidth="1"/>
    <col min="3845" max="3845" width="9.7109375" style="120" customWidth="1"/>
    <col min="3846" max="3846" width="23.7109375" style="120" customWidth="1"/>
    <col min="3847" max="3847" width="18.7109375" style="120" customWidth="1"/>
    <col min="3848" max="3848" width="17.7109375" style="120" customWidth="1"/>
    <col min="3849" max="4096" width="9.140625" style="120"/>
    <col min="4097" max="4097" width="9.7109375" style="120" customWidth="1"/>
    <col min="4098" max="4098" width="57.42578125" style="120" customWidth="1"/>
    <col min="4099" max="4099" width="20.140625" style="120" customWidth="1"/>
    <col min="4100" max="4100" width="19.42578125" style="120" customWidth="1"/>
    <col min="4101" max="4101" width="9.7109375" style="120" customWidth="1"/>
    <col min="4102" max="4102" width="23.7109375" style="120" customWidth="1"/>
    <col min="4103" max="4103" width="18.7109375" style="120" customWidth="1"/>
    <col min="4104" max="4104" width="17.7109375" style="120" customWidth="1"/>
    <col min="4105" max="4352" width="9.140625" style="120"/>
    <col min="4353" max="4353" width="9.7109375" style="120" customWidth="1"/>
    <col min="4354" max="4354" width="57.42578125" style="120" customWidth="1"/>
    <col min="4355" max="4355" width="20.140625" style="120" customWidth="1"/>
    <col min="4356" max="4356" width="19.42578125" style="120" customWidth="1"/>
    <col min="4357" max="4357" width="9.7109375" style="120" customWidth="1"/>
    <col min="4358" max="4358" width="23.7109375" style="120" customWidth="1"/>
    <col min="4359" max="4359" width="18.7109375" style="120" customWidth="1"/>
    <col min="4360" max="4360" width="17.7109375" style="120" customWidth="1"/>
    <col min="4361" max="4608" width="9.140625" style="120"/>
    <col min="4609" max="4609" width="9.7109375" style="120" customWidth="1"/>
    <col min="4610" max="4610" width="57.42578125" style="120" customWidth="1"/>
    <col min="4611" max="4611" width="20.140625" style="120" customWidth="1"/>
    <col min="4612" max="4612" width="19.42578125" style="120" customWidth="1"/>
    <col min="4613" max="4613" width="9.7109375" style="120" customWidth="1"/>
    <col min="4614" max="4614" width="23.7109375" style="120" customWidth="1"/>
    <col min="4615" max="4615" width="18.7109375" style="120" customWidth="1"/>
    <col min="4616" max="4616" width="17.7109375" style="120" customWidth="1"/>
    <col min="4617" max="4864" width="9.140625" style="120"/>
    <col min="4865" max="4865" width="9.7109375" style="120" customWidth="1"/>
    <col min="4866" max="4866" width="57.42578125" style="120" customWidth="1"/>
    <col min="4867" max="4867" width="20.140625" style="120" customWidth="1"/>
    <col min="4868" max="4868" width="19.42578125" style="120" customWidth="1"/>
    <col min="4869" max="4869" width="9.7109375" style="120" customWidth="1"/>
    <col min="4870" max="4870" width="23.7109375" style="120" customWidth="1"/>
    <col min="4871" max="4871" width="18.7109375" style="120" customWidth="1"/>
    <col min="4872" max="4872" width="17.7109375" style="120" customWidth="1"/>
    <col min="4873" max="5120" width="9.140625" style="120"/>
    <col min="5121" max="5121" width="9.7109375" style="120" customWidth="1"/>
    <col min="5122" max="5122" width="57.42578125" style="120" customWidth="1"/>
    <col min="5123" max="5123" width="20.140625" style="120" customWidth="1"/>
    <col min="5124" max="5124" width="19.42578125" style="120" customWidth="1"/>
    <col min="5125" max="5125" width="9.7109375" style="120" customWidth="1"/>
    <col min="5126" max="5126" width="23.7109375" style="120" customWidth="1"/>
    <col min="5127" max="5127" width="18.7109375" style="120" customWidth="1"/>
    <col min="5128" max="5128" width="17.7109375" style="120" customWidth="1"/>
    <col min="5129" max="5376" width="9.140625" style="120"/>
    <col min="5377" max="5377" width="9.7109375" style="120" customWidth="1"/>
    <col min="5378" max="5378" width="57.42578125" style="120" customWidth="1"/>
    <col min="5379" max="5379" width="20.140625" style="120" customWidth="1"/>
    <col min="5380" max="5380" width="19.42578125" style="120" customWidth="1"/>
    <col min="5381" max="5381" width="9.7109375" style="120" customWidth="1"/>
    <col min="5382" max="5382" width="23.7109375" style="120" customWidth="1"/>
    <col min="5383" max="5383" width="18.7109375" style="120" customWidth="1"/>
    <col min="5384" max="5384" width="17.7109375" style="120" customWidth="1"/>
    <col min="5385" max="5632" width="9.140625" style="120"/>
    <col min="5633" max="5633" width="9.7109375" style="120" customWidth="1"/>
    <col min="5634" max="5634" width="57.42578125" style="120" customWidth="1"/>
    <col min="5635" max="5635" width="20.140625" style="120" customWidth="1"/>
    <col min="5636" max="5636" width="19.42578125" style="120" customWidth="1"/>
    <col min="5637" max="5637" width="9.7109375" style="120" customWidth="1"/>
    <col min="5638" max="5638" width="23.7109375" style="120" customWidth="1"/>
    <col min="5639" max="5639" width="18.7109375" style="120" customWidth="1"/>
    <col min="5640" max="5640" width="17.7109375" style="120" customWidth="1"/>
    <col min="5641" max="5888" width="9.140625" style="120"/>
    <col min="5889" max="5889" width="9.7109375" style="120" customWidth="1"/>
    <col min="5890" max="5890" width="57.42578125" style="120" customWidth="1"/>
    <col min="5891" max="5891" width="20.140625" style="120" customWidth="1"/>
    <col min="5892" max="5892" width="19.42578125" style="120" customWidth="1"/>
    <col min="5893" max="5893" width="9.7109375" style="120" customWidth="1"/>
    <col min="5894" max="5894" width="23.7109375" style="120" customWidth="1"/>
    <col min="5895" max="5895" width="18.7109375" style="120" customWidth="1"/>
    <col min="5896" max="5896" width="17.7109375" style="120" customWidth="1"/>
    <col min="5897" max="6144" width="9.140625" style="120"/>
    <col min="6145" max="6145" width="9.7109375" style="120" customWidth="1"/>
    <col min="6146" max="6146" width="57.42578125" style="120" customWidth="1"/>
    <col min="6147" max="6147" width="20.140625" style="120" customWidth="1"/>
    <col min="6148" max="6148" width="19.42578125" style="120" customWidth="1"/>
    <col min="6149" max="6149" width="9.7109375" style="120" customWidth="1"/>
    <col min="6150" max="6150" width="23.7109375" style="120" customWidth="1"/>
    <col min="6151" max="6151" width="18.7109375" style="120" customWidth="1"/>
    <col min="6152" max="6152" width="17.7109375" style="120" customWidth="1"/>
    <col min="6153" max="6400" width="9.140625" style="120"/>
    <col min="6401" max="6401" width="9.7109375" style="120" customWidth="1"/>
    <col min="6402" max="6402" width="57.42578125" style="120" customWidth="1"/>
    <col min="6403" max="6403" width="20.140625" style="120" customWidth="1"/>
    <col min="6404" max="6404" width="19.42578125" style="120" customWidth="1"/>
    <col min="6405" max="6405" width="9.7109375" style="120" customWidth="1"/>
    <col min="6406" max="6406" width="23.7109375" style="120" customWidth="1"/>
    <col min="6407" max="6407" width="18.7109375" style="120" customWidth="1"/>
    <col min="6408" max="6408" width="17.7109375" style="120" customWidth="1"/>
    <col min="6409" max="6656" width="9.140625" style="120"/>
    <col min="6657" max="6657" width="9.7109375" style="120" customWidth="1"/>
    <col min="6658" max="6658" width="57.42578125" style="120" customWidth="1"/>
    <col min="6659" max="6659" width="20.140625" style="120" customWidth="1"/>
    <col min="6660" max="6660" width="19.42578125" style="120" customWidth="1"/>
    <col min="6661" max="6661" width="9.7109375" style="120" customWidth="1"/>
    <col min="6662" max="6662" width="23.7109375" style="120" customWidth="1"/>
    <col min="6663" max="6663" width="18.7109375" style="120" customWidth="1"/>
    <col min="6664" max="6664" width="17.7109375" style="120" customWidth="1"/>
    <col min="6665" max="6912" width="9.140625" style="120"/>
    <col min="6913" max="6913" width="9.7109375" style="120" customWidth="1"/>
    <col min="6914" max="6914" width="57.42578125" style="120" customWidth="1"/>
    <col min="6915" max="6915" width="20.140625" style="120" customWidth="1"/>
    <col min="6916" max="6916" width="19.42578125" style="120" customWidth="1"/>
    <col min="6917" max="6917" width="9.7109375" style="120" customWidth="1"/>
    <col min="6918" max="6918" width="23.7109375" style="120" customWidth="1"/>
    <col min="6919" max="6919" width="18.7109375" style="120" customWidth="1"/>
    <col min="6920" max="6920" width="17.7109375" style="120" customWidth="1"/>
    <col min="6921" max="7168" width="9.140625" style="120"/>
    <col min="7169" max="7169" width="9.7109375" style="120" customWidth="1"/>
    <col min="7170" max="7170" width="57.42578125" style="120" customWidth="1"/>
    <col min="7171" max="7171" width="20.140625" style="120" customWidth="1"/>
    <col min="7172" max="7172" width="19.42578125" style="120" customWidth="1"/>
    <col min="7173" max="7173" width="9.7109375" style="120" customWidth="1"/>
    <col min="7174" max="7174" width="23.7109375" style="120" customWidth="1"/>
    <col min="7175" max="7175" width="18.7109375" style="120" customWidth="1"/>
    <col min="7176" max="7176" width="17.7109375" style="120" customWidth="1"/>
    <col min="7177" max="7424" width="9.140625" style="120"/>
    <col min="7425" max="7425" width="9.7109375" style="120" customWidth="1"/>
    <col min="7426" max="7426" width="57.42578125" style="120" customWidth="1"/>
    <col min="7427" max="7427" width="20.140625" style="120" customWidth="1"/>
    <col min="7428" max="7428" width="19.42578125" style="120" customWidth="1"/>
    <col min="7429" max="7429" width="9.7109375" style="120" customWidth="1"/>
    <col min="7430" max="7430" width="23.7109375" style="120" customWidth="1"/>
    <col min="7431" max="7431" width="18.7109375" style="120" customWidth="1"/>
    <col min="7432" max="7432" width="17.7109375" style="120" customWidth="1"/>
    <col min="7433" max="7680" width="9.140625" style="120"/>
    <col min="7681" max="7681" width="9.7109375" style="120" customWidth="1"/>
    <col min="7682" max="7682" width="57.42578125" style="120" customWidth="1"/>
    <col min="7683" max="7683" width="20.140625" style="120" customWidth="1"/>
    <col min="7684" max="7684" width="19.42578125" style="120" customWidth="1"/>
    <col min="7685" max="7685" width="9.7109375" style="120" customWidth="1"/>
    <col min="7686" max="7686" width="23.7109375" style="120" customWidth="1"/>
    <col min="7687" max="7687" width="18.7109375" style="120" customWidth="1"/>
    <col min="7688" max="7688" width="17.7109375" style="120" customWidth="1"/>
    <col min="7689" max="7936" width="9.140625" style="120"/>
    <col min="7937" max="7937" width="9.7109375" style="120" customWidth="1"/>
    <col min="7938" max="7938" width="57.42578125" style="120" customWidth="1"/>
    <col min="7939" max="7939" width="20.140625" style="120" customWidth="1"/>
    <col min="7940" max="7940" width="19.42578125" style="120" customWidth="1"/>
    <col min="7941" max="7941" width="9.7109375" style="120" customWidth="1"/>
    <col min="7942" max="7942" width="23.7109375" style="120" customWidth="1"/>
    <col min="7943" max="7943" width="18.7109375" style="120" customWidth="1"/>
    <col min="7944" max="7944" width="17.7109375" style="120" customWidth="1"/>
    <col min="7945" max="8192" width="9.140625" style="120"/>
    <col min="8193" max="8193" width="9.7109375" style="120" customWidth="1"/>
    <col min="8194" max="8194" width="57.42578125" style="120" customWidth="1"/>
    <col min="8195" max="8195" width="20.140625" style="120" customWidth="1"/>
    <col min="8196" max="8196" width="19.42578125" style="120" customWidth="1"/>
    <col min="8197" max="8197" width="9.7109375" style="120" customWidth="1"/>
    <col min="8198" max="8198" width="23.7109375" style="120" customWidth="1"/>
    <col min="8199" max="8199" width="18.7109375" style="120" customWidth="1"/>
    <col min="8200" max="8200" width="17.7109375" style="120" customWidth="1"/>
    <col min="8201" max="8448" width="9.140625" style="120"/>
    <col min="8449" max="8449" width="9.7109375" style="120" customWidth="1"/>
    <col min="8450" max="8450" width="57.42578125" style="120" customWidth="1"/>
    <col min="8451" max="8451" width="20.140625" style="120" customWidth="1"/>
    <col min="8452" max="8452" width="19.42578125" style="120" customWidth="1"/>
    <col min="8453" max="8453" width="9.7109375" style="120" customWidth="1"/>
    <col min="8454" max="8454" width="23.7109375" style="120" customWidth="1"/>
    <col min="8455" max="8455" width="18.7109375" style="120" customWidth="1"/>
    <col min="8456" max="8456" width="17.7109375" style="120" customWidth="1"/>
    <col min="8457" max="8704" width="9.140625" style="120"/>
    <col min="8705" max="8705" width="9.7109375" style="120" customWidth="1"/>
    <col min="8706" max="8706" width="57.42578125" style="120" customWidth="1"/>
    <col min="8707" max="8707" width="20.140625" style="120" customWidth="1"/>
    <col min="8708" max="8708" width="19.42578125" style="120" customWidth="1"/>
    <col min="8709" max="8709" width="9.7109375" style="120" customWidth="1"/>
    <col min="8710" max="8710" width="23.7109375" style="120" customWidth="1"/>
    <col min="8711" max="8711" width="18.7109375" style="120" customWidth="1"/>
    <col min="8712" max="8712" width="17.7109375" style="120" customWidth="1"/>
    <col min="8713" max="8960" width="9.140625" style="120"/>
    <col min="8961" max="8961" width="9.7109375" style="120" customWidth="1"/>
    <col min="8962" max="8962" width="57.42578125" style="120" customWidth="1"/>
    <col min="8963" max="8963" width="20.140625" style="120" customWidth="1"/>
    <col min="8964" max="8964" width="19.42578125" style="120" customWidth="1"/>
    <col min="8965" max="8965" width="9.7109375" style="120" customWidth="1"/>
    <col min="8966" max="8966" width="23.7109375" style="120" customWidth="1"/>
    <col min="8967" max="8967" width="18.7109375" style="120" customWidth="1"/>
    <col min="8968" max="8968" width="17.7109375" style="120" customWidth="1"/>
    <col min="8969" max="9216" width="9.140625" style="120"/>
    <col min="9217" max="9217" width="9.7109375" style="120" customWidth="1"/>
    <col min="9218" max="9218" width="57.42578125" style="120" customWidth="1"/>
    <col min="9219" max="9219" width="20.140625" style="120" customWidth="1"/>
    <col min="9220" max="9220" width="19.42578125" style="120" customWidth="1"/>
    <col min="9221" max="9221" width="9.7109375" style="120" customWidth="1"/>
    <col min="9222" max="9222" width="23.7109375" style="120" customWidth="1"/>
    <col min="9223" max="9223" width="18.7109375" style="120" customWidth="1"/>
    <col min="9224" max="9224" width="17.7109375" style="120" customWidth="1"/>
    <col min="9225" max="9472" width="9.140625" style="120"/>
    <col min="9473" max="9473" width="9.7109375" style="120" customWidth="1"/>
    <col min="9474" max="9474" width="57.42578125" style="120" customWidth="1"/>
    <col min="9475" max="9475" width="20.140625" style="120" customWidth="1"/>
    <col min="9476" max="9476" width="19.42578125" style="120" customWidth="1"/>
    <col min="9477" max="9477" width="9.7109375" style="120" customWidth="1"/>
    <col min="9478" max="9478" width="23.7109375" style="120" customWidth="1"/>
    <col min="9479" max="9479" width="18.7109375" style="120" customWidth="1"/>
    <col min="9480" max="9480" width="17.7109375" style="120" customWidth="1"/>
    <col min="9481" max="9728" width="9.140625" style="120"/>
    <col min="9729" max="9729" width="9.7109375" style="120" customWidth="1"/>
    <col min="9730" max="9730" width="57.42578125" style="120" customWidth="1"/>
    <col min="9731" max="9731" width="20.140625" style="120" customWidth="1"/>
    <col min="9732" max="9732" width="19.42578125" style="120" customWidth="1"/>
    <col min="9733" max="9733" width="9.7109375" style="120" customWidth="1"/>
    <col min="9734" max="9734" width="23.7109375" style="120" customWidth="1"/>
    <col min="9735" max="9735" width="18.7109375" style="120" customWidth="1"/>
    <col min="9736" max="9736" width="17.7109375" style="120" customWidth="1"/>
    <col min="9737" max="9984" width="9.140625" style="120"/>
    <col min="9985" max="9985" width="9.7109375" style="120" customWidth="1"/>
    <col min="9986" max="9986" width="57.42578125" style="120" customWidth="1"/>
    <col min="9987" max="9987" width="20.140625" style="120" customWidth="1"/>
    <col min="9988" max="9988" width="19.42578125" style="120" customWidth="1"/>
    <col min="9989" max="9989" width="9.7109375" style="120" customWidth="1"/>
    <col min="9990" max="9990" width="23.7109375" style="120" customWidth="1"/>
    <col min="9991" max="9991" width="18.7109375" style="120" customWidth="1"/>
    <col min="9992" max="9992" width="17.7109375" style="120" customWidth="1"/>
    <col min="9993" max="10240" width="9.140625" style="120"/>
    <col min="10241" max="10241" width="9.7109375" style="120" customWidth="1"/>
    <col min="10242" max="10242" width="57.42578125" style="120" customWidth="1"/>
    <col min="10243" max="10243" width="20.140625" style="120" customWidth="1"/>
    <col min="10244" max="10244" width="19.42578125" style="120" customWidth="1"/>
    <col min="10245" max="10245" width="9.7109375" style="120" customWidth="1"/>
    <col min="10246" max="10246" width="23.7109375" style="120" customWidth="1"/>
    <col min="10247" max="10247" width="18.7109375" style="120" customWidth="1"/>
    <col min="10248" max="10248" width="17.7109375" style="120" customWidth="1"/>
    <col min="10249" max="10496" width="9.140625" style="120"/>
    <col min="10497" max="10497" width="9.7109375" style="120" customWidth="1"/>
    <col min="10498" max="10498" width="57.42578125" style="120" customWidth="1"/>
    <col min="10499" max="10499" width="20.140625" style="120" customWidth="1"/>
    <col min="10500" max="10500" width="19.42578125" style="120" customWidth="1"/>
    <col min="10501" max="10501" width="9.7109375" style="120" customWidth="1"/>
    <col min="10502" max="10502" width="23.7109375" style="120" customWidth="1"/>
    <col min="10503" max="10503" width="18.7109375" style="120" customWidth="1"/>
    <col min="10504" max="10504" width="17.7109375" style="120" customWidth="1"/>
    <col min="10505" max="10752" width="9.140625" style="120"/>
    <col min="10753" max="10753" width="9.7109375" style="120" customWidth="1"/>
    <col min="10754" max="10754" width="57.42578125" style="120" customWidth="1"/>
    <col min="10755" max="10755" width="20.140625" style="120" customWidth="1"/>
    <col min="10756" max="10756" width="19.42578125" style="120" customWidth="1"/>
    <col min="10757" max="10757" width="9.7109375" style="120" customWidth="1"/>
    <col min="10758" max="10758" width="23.7109375" style="120" customWidth="1"/>
    <col min="10759" max="10759" width="18.7109375" style="120" customWidth="1"/>
    <col min="10760" max="10760" width="17.7109375" style="120" customWidth="1"/>
    <col min="10761" max="11008" width="9.140625" style="120"/>
    <col min="11009" max="11009" width="9.7109375" style="120" customWidth="1"/>
    <col min="11010" max="11010" width="57.42578125" style="120" customWidth="1"/>
    <col min="11011" max="11011" width="20.140625" style="120" customWidth="1"/>
    <col min="11012" max="11012" width="19.42578125" style="120" customWidth="1"/>
    <col min="11013" max="11013" width="9.7109375" style="120" customWidth="1"/>
    <col min="11014" max="11014" width="23.7109375" style="120" customWidth="1"/>
    <col min="11015" max="11015" width="18.7109375" style="120" customWidth="1"/>
    <col min="11016" max="11016" width="17.7109375" style="120" customWidth="1"/>
    <col min="11017" max="11264" width="9.140625" style="120"/>
    <col min="11265" max="11265" width="9.7109375" style="120" customWidth="1"/>
    <col min="11266" max="11266" width="57.42578125" style="120" customWidth="1"/>
    <col min="11267" max="11267" width="20.140625" style="120" customWidth="1"/>
    <col min="11268" max="11268" width="19.42578125" style="120" customWidth="1"/>
    <col min="11269" max="11269" width="9.7109375" style="120" customWidth="1"/>
    <col min="11270" max="11270" width="23.7109375" style="120" customWidth="1"/>
    <col min="11271" max="11271" width="18.7109375" style="120" customWidth="1"/>
    <col min="11272" max="11272" width="17.7109375" style="120" customWidth="1"/>
    <col min="11273" max="11520" width="9.140625" style="120"/>
    <col min="11521" max="11521" width="9.7109375" style="120" customWidth="1"/>
    <col min="11522" max="11522" width="57.42578125" style="120" customWidth="1"/>
    <col min="11523" max="11523" width="20.140625" style="120" customWidth="1"/>
    <col min="11524" max="11524" width="19.42578125" style="120" customWidth="1"/>
    <col min="11525" max="11525" width="9.7109375" style="120" customWidth="1"/>
    <col min="11526" max="11526" width="23.7109375" style="120" customWidth="1"/>
    <col min="11527" max="11527" width="18.7109375" style="120" customWidth="1"/>
    <col min="11528" max="11528" width="17.7109375" style="120" customWidth="1"/>
    <col min="11529" max="11776" width="9.140625" style="120"/>
    <col min="11777" max="11777" width="9.7109375" style="120" customWidth="1"/>
    <col min="11778" max="11778" width="57.42578125" style="120" customWidth="1"/>
    <col min="11779" max="11779" width="20.140625" style="120" customWidth="1"/>
    <col min="11780" max="11780" width="19.42578125" style="120" customWidth="1"/>
    <col min="11781" max="11781" width="9.7109375" style="120" customWidth="1"/>
    <col min="11782" max="11782" width="23.7109375" style="120" customWidth="1"/>
    <col min="11783" max="11783" width="18.7109375" style="120" customWidth="1"/>
    <col min="11784" max="11784" width="17.7109375" style="120" customWidth="1"/>
    <col min="11785" max="12032" width="9.140625" style="120"/>
    <col min="12033" max="12033" width="9.7109375" style="120" customWidth="1"/>
    <col min="12034" max="12034" width="57.42578125" style="120" customWidth="1"/>
    <col min="12035" max="12035" width="20.140625" style="120" customWidth="1"/>
    <col min="12036" max="12036" width="19.42578125" style="120" customWidth="1"/>
    <col min="12037" max="12037" width="9.7109375" style="120" customWidth="1"/>
    <col min="12038" max="12038" width="23.7109375" style="120" customWidth="1"/>
    <col min="12039" max="12039" width="18.7109375" style="120" customWidth="1"/>
    <col min="12040" max="12040" width="17.7109375" style="120" customWidth="1"/>
    <col min="12041" max="12288" width="9.140625" style="120"/>
    <col min="12289" max="12289" width="9.7109375" style="120" customWidth="1"/>
    <col min="12290" max="12290" width="57.42578125" style="120" customWidth="1"/>
    <col min="12291" max="12291" width="20.140625" style="120" customWidth="1"/>
    <col min="12292" max="12292" width="19.42578125" style="120" customWidth="1"/>
    <col min="12293" max="12293" width="9.7109375" style="120" customWidth="1"/>
    <col min="12294" max="12294" width="23.7109375" style="120" customWidth="1"/>
    <col min="12295" max="12295" width="18.7109375" style="120" customWidth="1"/>
    <col min="12296" max="12296" width="17.7109375" style="120" customWidth="1"/>
    <col min="12297" max="12544" width="9.140625" style="120"/>
    <col min="12545" max="12545" width="9.7109375" style="120" customWidth="1"/>
    <col min="12546" max="12546" width="57.42578125" style="120" customWidth="1"/>
    <col min="12547" max="12547" width="20.140625" style="120" customWidth="1"/>
    <col min="12548" max="12548" width="19.42578125" style="120" customWidth="1"/>
    <col min="12549" max="12549" width="9.7109375" style="120" customWidth="1"/>
    <col min="12550" max="12550" width="23.7109375" style="120" customWidth="1"/>
    <col min="12551" max="12551" width="18.7109375" style="120" customWidth="1"/>
    <col min="12552" max="12552" width="17.7109375" style="120" customWidth="1"/>
    <col min="12553" max="12800" width="9.140625" style="120"/>
    <col min="12801" max="12801" width="9.7109375" style="120" customWidth="1"/>
    <col min="12802" max="12802" width="57.42578125" style="120" customWidth="1"/>
    <col min="12803" max="12803" width="20.140625" style="120" customWidth="1"/>
    <col min="12804" max="12804" width="19.42578125" style="120" customWidth="1"/>
    <col min="12805" max="12805" width="9.7109375" style="120" customWidth="1"/>
    <col min="12806" max="12806" width="23.7109375" style="120" customWidth="1"/>
    <col min="12807" max="12807" width="18.7109375" style="120" customWidth="1"/>
    <col min="12808" max="12808" width="17.7109375" style="120" customWidth="1"/>
    <col min="12809" max="13056" width="9.140625" style="120"/>
    <col min="13057" max="13057" width="9.7109375" style="120" customWidth="1"/>
    <col min="13058" max="13058" width="57.42578125" style="120" customWidth="1"/>
    <col min="13059" max="13059" width="20.140625" style="120" customWidth="1"/>
    <col min="13060" max="13060" width="19.42578125" style="120" customWidth="1"/>
    <col min="13061" max="13061" width="9.7109375" style="120" customWidth="1"/>
    <col min="13062" max="13062" width="23.7109375" style="120" customWidth="1"/>
    <col min="13063" max="13063" width="18.7109375" style="120" customWidth="1"/>
    <col min="13064" max="13064" width="17.7109375" style="120" customWidth="1"/>
    <col min="13065" max="13312" width="9.140625" style="120"/>
    <col min="13313" max="13313" width="9.7109375" style="120" customWidth="1"/>
    <col min="13314" max="13314" width="57.42578125" style="120" customWidth="1"/>
    <col min="13315" max="13315" width="20.140625" style="120" customWidth="1"/>
    <col min="13316" max="13316" width="19.42578125" style="120" customWidth="1"/>
    <col min="13317" max="13317" width="9.7109375" style="120" customWidth="1"/>
    <col min="13318" max="13318" width="23.7109375" style="120" customWidth="1"/>
    <col min="13319" max="13319" width="18.7109375" style="120" customWidth="1"/>
    <col min="13320" max="13320" width="17.7109375" style="120" customWidth="1"/>
    <col min="13321" max="13568" width="9.140625" style="120"/>
    <col min="13569" max="13569" width="9.7109375" style="120" customWidth="1"/>
    <col min="13570" max="13570" width="57.42578125" style="120" customWidth="1"/>
    <col min="13571" max="13571" width="20.140625" style="120" customWidth="1"/>
    <col min="13572" max="13572" width="19.42578125" style="120" customWidth="1"/>
    <col min="13573" max="13573" width="9.7109375" style="120" customWidth="1"/>
    <col min="13574" max="13574" width="23.7109375" style="120" customWidth="1"/>
    <col min="13575" max="13575" width="18.7109375" style="120" customWidth="1"/>
    <col min="13576" max="13576" width="17.7109375" style="120" customWidth="1"/>
    <col min="13577" max="13824" width="9.140625" style="120"/>
    <col min="13825" max="13825" width="9.7109375" style="120" customWidth="1"/>
    <col min="13826" max="13826" width="57.42578125" style="120" customWidth="1"/>
    <col min="13827" max="13827" width="20.140625" style="120" customWidth="1"/>
    <col min="13828" max="13828" width="19.42578125" style="120" customWidth="1"/>
    <col min="13829" max="13829" width="9.7109375" style="120" customWidth="1"/>
    <col min="13830" max="13830" width="23.7109375" style="120" customWidth="1"/>
    <col min="13831" max="13831" width="18.7109375" style="120" customWidth="1"/>
    <col min="13832" max="13832" width="17.7109375" style="120" customWidth="1"/>
    <col min="13833" max="14080" width="9.140625" style="120"/>
    <col min="14081" max="14081" width="9.7109375" style="120" customWidth="1"/>
    <col min="14082" max="14082" width="57.42578125" style="120" customWidth="1"/>
    <col min="14083" max="14083" width="20.140625" style="120" customWidth="1"/>
    <col min="14084" max="14084" width="19.42578125" style="120" customWidth="1"/>
    <col min="14085" max="14085" width="9.7109375" style="120" customWidth="1"/>
    <col min="14086" max="14086" width="23.7109375" style="120" customWidth="1"/>
    <col min="14087" max="14087" width="18.7109375" style="120" customWidth="1"/>
    <col min="14088" max="14088" width="17.7109375" style="120" customWidth="1"/>
    <col min="14089" max="14336" width="9.140625" style="120"/>
    <col min="14337" max="14337" width="9.7109375" style="120" customWidth="1"/>
    <col min="14338" max="14338" width="57.42578125" style="120" customWidth="1"/>
    <col min="14339" max="14339" width="20.140625" style="120" customWidth="1"/>
    <col min="14340" max="14340" width="19.42578125" style="120" customWidth="1"/>
    <col min="14341" max="14341" width="9.7109375" style="120" customWidth="1"/>
    <col min="14342" max="14342" width="23.7109375" style="120" customWidth="1"/>
    <col min="14343" max="14343" width="18.7109375" style="120" customWidth="1"/>
    <col min="14344" max="14344" width="17.7109375" style="120" customWidth="1"/>
    <col min="14345" max="14592" width="9.140625" style="120"/>
    <col min="14593" max="14593" width="9.7109375" style="120" customWidth="1"/>
    <col min="14594" max="14594" width="57.42578125" style="120" customWidth="1"/>
    <col min="14595" max="14595" width="20.140625" style="120" customWidth="1"/>
    <col min="14596" max="14596" width="19.42578125" style="120" customWidth="1"/>
    <col min="14597" max="14597" width="9.7109375" style="120" customWidth="1"/>
    <col min="14598" max="14598" width="23.7109375" style="120" customWidth="1"/>
    <col min="14599" max="14599" width="18.7109375" style="120" customWidth="1"/>
    <col min="14600" max="14600" width="17.7109375" style="120" customWidth="1"/>
    <col min="14601" max="14848" width="9.140625" style="120"/>
    <col min="14849" max="14849" width="9.7109375" style="120" customWidth="1"/>
    <col min="14850" max="14850" width="57.42578125" style="120" customWidth="1"/>
    <col min="14851" max="14851" width="20.140625" style="120" customWidth="1"/>
    <col min="14852" max="14852" width="19.42578125" style="120" customWidth="1"/>
    <col min="14853" max="14853" width="9.7109375" style="120" customWidth="1"/>
    <col min="14854" max="14854" width="23.7109375" style="120" customWidth="1"/>
    <col min="14855" max="14855" width="18.7109375" style="120" customWidth="1"/>
    <col min="14856" max="14856" width="17.7109375" style="120" customWidth="1"/>
    <col min="14857" max="15104" width="9.140625" style="120"/>
    <col min="15105" max="15105" width="9.7109375" style="120" customWidth="1"/>
    <col min="15106" max="15106" width="57.42578125" style="120" customWidth="1"/>
    <col min="15107" max="15107" width="20.140625" style="120" customWidth="1"/>
    <col min="15108" max="15108" width="19.42578125" style="120" customWidth="1"/>
    <col min="15109" max="15109" width="9.7109375" style="120" customWidth="1"/>
    <col min="15110" max="15110" width="23.7109375" style="120" customWidth="1"/>
    <col min="15111" max="15111" width="18.7109375" style="120" customWidth="1"/>
    <col min="15112" max="15112" width="17.7109375" style="120" customWidth="1"/>
    <col min="15113" max="15360" width="9.140625" style="120"/>
    <col min="15361" max="15361" width="9.7109375" style="120" customWidth="1"/>
    <col min="15362" max="15362" width="57.42578125" style="120" customWidth="1"/>
    <col min="15363" max="15363" width="20.140625" style="120" customWidth="1"/>
    <col min="15364" max="15364" width="19.42578125" style="120" customWidth="1"/>
    <col min="15365" max="15365" width="9.7109375" style="120" customWidth="1"/>
    <col min="15366" max="15366" width="23.7109375" style="120" customWidth="1"/>
    <col min="15367" max="15367" width="18.7109375" style="120" customWidth="1"/>
    <col min="15368" max="15368" width="17.7109375" style="120" customWidth="1"/>
    <col min="15369" max="15616" width="9.140625" style="120"/>
    <col min="15617" max="15617" width="9.7109375" style="120" customWidth="1"/>
    <col min="15618" max="15618" width="57.42578125" style="120" customWidth="1"/>
    <col min="15619" max="15619" width="20.140625" style="120" customWidth="1"/>
    <col min="15620" max="15620" width="19.42578125" style="120" customWidth="1"/>
    <col min="15621" max="15621" width="9.7109375" style="120" customWidth="1"/>
    <col min="15622" max="15622" width="23.7109375" style="120" customWidth="1"/>
    <col min="15623" max="15623" width="18.7109375" style="120" customWidth="1"/>
    <col min="15624" max="15624" width="17.7109375" style="120" customWidth="1"/>
    <col min="15625" max="15872" width="9.140625" style="120"/>
    <col min="15873" max="15873" width="9.7109375" style="120" customWidth="1"/>
    <col min="15874" max="15874" width="57.42578125" style="120" customWidth="1"/>
    <col min="15875" max="15875" width="20.140625" style="120" customWidth="1"/>
    <col min="15876" max="15876" width="19.42578125" style="120" customWidth="1"/>
    <col min="15877" max="15877" width="9.7109375" style="120" customWidth="1"/>
    <col min="15878" max="15878" width="23.7109375" style="120" customWidth="1"/>
    <col min="15879" max="15879" width="18.7109375" style="120" customWidth="1"/>
    <col min="15880" max="15880" width="17.7109375" style="120" customWidth="1"/>
    <col min="15881" max="16128" width="9.140625" style="120"/>
    <col min="16129" max="16129" width="9.7109375" style="120" customWidth="1"/>
    <col min="16130" max="16130" width="57.42578125" style="120" customWidth="1"/>
    <col min="16131" max="16131" width="20.140625" style="120" customWidth="1"/>
    <col min="16132" max="16132" width="19.42578125" style="120" customWidth="1"/>
    <col min="16133" max="16133" width="9.7109375" style="120" customWidth="1"/>
    <col min="16134" max="16134" width="23.7109375" style="120" customWidth="1"/>
    <col min="16135" max="16135" width="18.7109375" style="120" customWidth="1"/>
    <col min="16136" max="16136" width="17.7109375" style="120" customWidth="1"/>
    <col min="16137" max="16384" width="9.140625" style="120"/>
  </cols>
  <sheetData>
    <row r="1" spans="1:7" ht="28.35" customHeight="1">
      <c r="B1" s="797" t="s">
        <v>455</v>
      </c>
      <c r="C1" s="797"/>
      <c r="D1" s="797"/>
      <c r="E1" s="797"/>
      <c r="F1" s="797"/>
    </row>
    <row r="2" spans="1:7" ht="12" customHeight="1">
      <c r="B2" s="121"/>
      <c r="C2" s="121"/>
      <c r="D2" s="121"/>
      <c r="E2" s="121"/>
    </row>
    <row r="3" spans="1:7" ht="5.0999999999999996" customHeight="1">
      <c r="B3" s="122"/>
    </row>
    <row r="4" spans="1:7" ht="48" customHeight="1">
      <c r="A4" s="798" t="s">
        <v>456</v>
      </c>
      <c r="B4" s="800">
        <v>1588</v>
      </c>
      <c r="C4" s="123" t="s">
        <v>457</v>
      </c>
      <c r="D4" s="124" t="s">
        <v>442</v>
      </c>
      <c r="E4" s="802" t="s">
        <v>458</v>
      </c>
      <c r="F4" s="804" t="s">
        <v>459</v>
      </c>
      <c r="G4" s="806" t="s">
        <v>460</v>
      </c>
    </row>
    <row r="5" spans="1:7" ht="52.35" customHeight="1">
      <c r="A5" s="799"/>
      <c r="B5" s="801"/>
      <c r="C5" s="125" t="s">
        <v>461</v>
      </c>
      <c r="D5" s="126" t="s">
        <v>462</v>
      </c>
      <c r="E5" s="803"/>
      <c r="F5" s="805"/>
      <c r="G5" s="806"/>
    </row>
    <row r="6" spans="1:7" ht="17.100000000000001" customHeight="1">
      <c r="A6" s="127">
        <v>1</v>
      </c>
      <c r="B6" s="128">
        <v>2</v>
      </c>
      <c r="C6" s="129">
        <v>3</v>
      </c>
      <c r="D6" s="130">
        <v>4</v>
      </c>
      <c r="E6" s="131">
        <v>5</v>
      </c>
      <c r="F6" s="127">
        <v>6</v>
      </c>
      <c r="G6" s="132">
        <v>7</v>
      </c>
    </row>
    <row r="7" spans="1:7" ht="50.1" customHeight="1">
      <c r="A7" s="807" t="s">
        <v>463</v>
      </c>
      <c r="B7" s="807"/>
      <c r="C7" s="133">
        <f>C8+C9+C89+C94</f>
        <v>692618434.62999988</v>
      </c>
      <c r="D7" s="133">
        <f>D8+D9+D89+D94</f>
        <v>663536557.45999992</v>
      </c>
      <c r="E7" s="134">
        <f>(D7/C7)*100</f>
        <v>95.80116905413648</v>
      </c>
      <c r="F7" s="135">
        <f>C7-D7</f>
        <v>29081877.169999957</v>
      </c>
      <c r="G7" s="136"/>
    </row>
    <row r="8" spans="1:7" ht="33" customHeight="1">
      <c r="A8" s="137"/>
      <c r="B8" s="138" t="s">
        <v>464</v>
      </c>
      <c r="C8" s="139">
        <v>996603</v>
      </c>
      <c r="D8" s="139">
        <v>996603</v>
      </c>
      <c r="E8" s="140">
        <f>(D8/C8)*100</f>
        <v>100</v>
      </c>
      <c r="F8" s="141">
        <f>C8-D8</f>
        <v>0</v>
      </c>
      <c r="G8" s="142" t="s">
        <v>465</v>
      </c>
    </row>
    <row r="9" spans="1:7" ht="53.25" customHeight="1">
      <c r="A9" s="808" t="s">
        <v>466</v>
      </c>
      <c r="B9" s="809"/>
      <c r="C9" s="143">
        <f>C10+C29+C81+C87</f>
        <v>689450656.62999988</v>
      </c>
      <c r="D9" s="143">
        <f>D10+D29+D81+D87</f>
        <v>660368779.45999992</v>
      </c>
      <c r="E9" s="144">
        <f t="shared" ref="E9:E72" si="0">(D9/C9)*100</f>
        <v>95.781876934870041</v>
      </c>
      <c r="F9" s="145">
        <f>C9-D9</f>
        <v>29081877.169999957</v>
      </c>
      <c r="G9" s="146"/>
    </row>
    <row r="10" spans="1:7" ht="41.1" customHeight="1">
      <c r="A10" s="147" t="s">
        <v>16</v>
      </c>
      <c r="B10" s="148" t="s">
        <v>17</v>
      </c>
      <c r="C10" s="149">
        <f>C11+C23</f>
        <v>79841852.379999995</v>
      </c>
      <c r="D10" s="149">
        <f>D11+D23</f>
        <v>53053824.539999999</v>
      </c>
      <c r="E10" s="150">
        <f t="shared" si="0"/>
        <v>66.448639352072121</v>
      </c>
      <c r="F10" s="151">
        <f t="shared" ref="F10:F73" si="1">C10-D10</f>
        <v>26788027.839999996</v>
      </c>
      <c r="G10" s="152"/>
    </row>
    <row r="11" spans="1:7" ht="51" customHeight="1">
      <c r="A11" s="153"/>
      <c r="B11" s="154" t="s">
        <v>467</v>
      </c>
      <c r="C11" s="155">
        <f>C12</f>
        <v>68523442.769999996</v>
      </c>
      <c r="D11" s="155">
        <f>D12</f>
        <v>41735414.93</v>
      </c>
      <c r="E11" s="156">
        <f t="shared" si="0"/>
        <v>60.906768899638585</v>
      </c>
      <c r="F11" s="157">
        <f t="shared" si="1"/>
        <v>26788027.839999996</v>
      </c>
      <c r="G11" s="146"/>
    </row>
    <row r="12" spans="1:7" ht="60.6" customHeight="1">
      <c r="A12" s="158" t="s">
        <v>173</v>
      </c>
      <c r="B12" s="159" t="s">
        <v>468</v>
      </c>
      <c r="C12" s="160">
        <f>C13+C14+C15+C16+C22+C19</f>
        <v>68523442.769999996</v>
      </c>
      <c r="D12" s="160">
        <f>D13+D14+D15+D16+D22+D19</f>
        <v>41735414.93</v>
      </c>
      <c r="E12" s="161">
        <f t="shared" si="0"/>
        <v>60.906768899638585</v>
      </c>
      <c r="F12" s="160">
        <f>F13+F14+F15+F16</f>
        <v>2178</v>
      </c>
      <c r="G12" s="146"/>
    </row>
    <row r="13" spans="1:7" ht="56.1" customHeight="1">
      <c r="A13" s="162" t="s">
        <v>19</v>
      </c>
      <c r="B13" s="163" t="s">
        <v>469</v>
      </c>
      <c r="C13" s="164">
        <v>11216299.77</v>
      </c>
      <c r="D13" s="165">
        <v>11216299.77</v>
      </c>
      <c r="E13" s="161">
        <f t="shared" si="0"/>
        <v>100</v>
      </c>
      <c r="F13" s="166">
        <f t="shared" si="1"/>
        <v>0</v>
      </c>
      <c r="G13" s="167" t="s">
        <v>23</v>
      </c>
    </row>
    <row r="14" spans="1:7" ht="49.35" customHeight="1">
      <c r="A14" s="168" t="s">
        <v>470</v>
      </c>
      <c r="B14" s="169" t="s">
        <v>24</v>
      </c>
      <c r="C14" s="170">
        <v>1817988</v>
      </c>
      <c r="D14" s="170">
        <v>1815930</v>
      </c>
      <c r="E14" s="161">
        <f t="shared" si="0"/>
        <v>99.886797932659618</v>
      </c>
      <c r="F14" s="166">
        <f t="shared" si="1"/>
        <v>2058</v>
      </c>
      <c r="G14" s="171" t="s">
        <v>471</v>
      </c>
    </row>
    <row r="15" spans="1:7" ht="66.599999999999994" customHeight="1">
      <c r="A15" s="168" t="s">
        <v>472</v>
      </c>
      <c r="B15" s="169" t="s">
        <v>27</v>
      </c>
      <c r="C15" s="170">
        <v>2850000</v>
      </c>
      <c r="D15" s="170">
        <v>2849880</v>
      </c>
      <c r="E15" s="161">
        <f t="shared" si="0"/>
        <v>99.995789473684212</v>
      </c>
      <c r="F15" s="172">
        <f t="shared" si="1"/>
        <v>120</v>
      </c>
      <c r="G15" s="167" t="s">
        <v>23</v>
      </c>
    </row>
    <row r="16" spans="1:7" ht="23.45" customHeight="1">
      <c r="A16" s="168" t="s">
        <v>473</v>
      </c>
      <c r="B16" s="169" t="s">
        <v>29</v>
      </c>
      <c r="C16" s="170">
        <f>C17+C18</f>
        <v>12878310</v>
      </c>
      <c r="D16" s="170">
        <f>D17+D18</f>
        <v>12878310</v>
      </c>
      <c r="E16" s="161">
        <f t="shared" si="0"/>
        <v>100</v>
      </c>
      <c r="F16" s="166">
        <f t="shared" si="1"/>
        <v>0</v>
      </c>
      <c r="G16" s="167"/>
    </row>
    <row r="17" spans="1:7" ht="21" customHeight="1">
      <c r="A17" s="168"/>
      <c r="B17" s="173" t="s">
        <v>474</v>
      </c>
      <c r="C17" s="174">
        <v>9143600</v>
      </c>
      <c r="D17" s="174">
        <v>9143600</v>
      </c>
      <c r="E17" s="175"/>
      <c r="F17" s="176">
        <f t="shared" si="1"/>
        <v>0</v>
      </c>
      <c r="G17" s="167" t="s">
        <v>475</v>
      </c>
    </row>
    <row r="18" spans="1:7" ht="21" customHeight="1">
      <c r="A18" s="168"/>
      <c r="B18" s="173" t="s">
        <v>476</v>
      </c>
      <c r="C18" s="174">
        <v>3734710</v>
      </c>
      <c r="D18" s="174">
        <v>3734710</v>
      </c>
      <c r="E18" s="175"/>
      <c r="F18" s="176">
        <f t="shared" si="1"/>
        <v>0</v>
      </c>
      <c r="G18" s="167"/>
    </row>
    <row r="19" spans="1:7" ht="21" customHeight="1">
      <c r="A19" s="168" t="s">
        <v>477</v>
      </c>
      <c r="B19" s="169" t="s">
        <v>478</v>
      </c>
      <c r="C19" s="177">
        <f>C20+C21</f>
        <v>10810845</v>
      </c>
      <c r="D19" s="178">
        <f>D20+D21</f>
        <v>8899658.8300000001</v>
      </c>
      <c r="E19" s="161">
        <f t="shared" si="0"/>
        <v>82.321583835491126</v>
      </c>
      <c r="F19" s="172">
        <f t="shared" si="1"/>
        <v>1911186.17</v>
      </c>
      <c r="G19" s="167" t="s">
        <v>471</v>
      </c>
    </row>
    <row r="20" spans="1:7" ht="21" customHeight="1">
      <c r="A20" s="168"/>
      <c r="B20" s="173" t="s">
        <v>474</v>
      </c>
      <c r="C20" s="174">
        <v>7675700</v>
      </c>
      <c r="D20" s="174">
        <v>6318757.8099999996</v>
      </c>
      <c r="E20" s="175"/>
      <c r="F20" s="176">
        <f t="shared" si="1"/>
        <v>1356942.1900000004</v>
      </c>
      <c r="G20" s="167"/>
    </row>
    <row r="21" spans="1:7" ht="21" customHeight="1">
      <c r="A21" s="168"/>
      <c r="B21" s="173" t="s">
        <v>476</v>
      </c>
      <c r="C21" s="174">
        <v>3135145</v>
      </c>
      <c r="D21" s="174">
        <v>2580901.02</v>
      </c>
      <c r="E21" s="175"/>
      <c r="F21" s="176">
        <f t="shared" si="1"/>
        <v>554243.98</v>
      </c>
      <c r="G21" s="167"/>
    </row>
    <row r="22" spans="1:7" ht="42" customHeight="1">
      <c r="A22" s="168" t="s">
        <v>479</v>
      </c>
      <c r="B22" s="169" t="s">
        <v>480</v>
      </c>
      <c r="C22" s="170">
        <v>28950000</v>
      </c>
      <c r="D22" s="174">
        <v>4075336.33</v>
      </c>
      <c r="E22" s="161">
        <f>(D22/C22)*100</f>
        <v>14.077154853195164</v>
      </c>
      <c r="F22" s="172">
        <f t="shared" si="1"/>
        <v>24874663.670000002</v>
      </c>
      <c r="G22" s="167" t="s">
        <v>471</v>
      </c>
    </row>
    <row r="23" spans="1:7" ht="54.6" customHeight="1">
      <c r="A23" s="179"/>
      <c r="B23" s="180" t="s">
        <v>481</v>
      </c>
      <c r="C23" s="155">
        <f>C24</f>
        <v>11318409.609999999</v>
      </c>
      <c r="D23" s="155">
        <f>D24</f>
        <v>11318409.609999999</v>
      </c>
      <c r="E23" s="156">
        <f t="shared" si="0"/>
        <v>100</v>
      </c>
      <c r="F23" s="157">
        <f t="shared" si="1"/>
        <v>0</v>
      </c>
      <c r="G23" s="152"/>
    </row>
    <row r="24" spans="1:7" ht="71.45" customHeight="1">
      <c r="A24" s="181" t="s">
        <v>174</v>
      </c>
      <c r="B24" s="182" t="s">
        <v>482</v>
      </c>
      <c r="C24" s="183">
        <f>C25+C28</f>
        <v>11318409.609999999</v>
      </c>
      <c r="D24" s="183">
        <f>D25+D28</f>
        <v>11318409.609999999</v>
      </c>
      <c r="E24" s="161">
        <f t="shared" si="0"/>
        <v>100</v>
      </c>
      <c r="F24" s="166">
        <f t="shared" si="1"/>
        <v>0</v>
      </c>
      <c r="G24" s="146"/>
    </row>
    <row r="25" spans="1:7" ht="44.45" customHeight="1">
      <c r="A25" s="184" t="s">
        <v>192</v>
      </c>
      <c r="B25" s="185" t="s">
        <v>483</v>
      </c>
      <c r="C25" s="160">
        <f>C26+C27</f>
        <v>10843409.609999999</v>
      </c>
      <c r="D25" s="160">
        <f>D26+D27</f>
        <v>10843409.609999999</v>
      </c>
      <c r="E25" s="161">
        <f t="shared" si="0"/>
        <v>100</v>
      </c>
      <c r="F25" s="166">
        <f t="shared" si="1"/>
        <v>0</v>
      </c>
      <c r="G25" s="167" t="s">
        <v>23</v>
      </c>
    </row>
    <row r="26" spans="1:7" ht="60.6" customHeight="1">
      <c r="A26" s="184"/>
      <c r="B26" s="169" t="s">
        <v>484</v>
      </c>
      <c r="C26" s="160">
        <v>3726860.58</v>
      </c>
      <c r="D26" s="186">
        <v>3726860.58</v>
      </c>
      <c r="E26" s="161">
        <f t="shared" si="0"/>
        <v>100</v>
      </c>
      <c r="F26" s="172">
        <f t="shared" si="1"/>
        <v>0</v>
      </c>
      <c r="G26" s="167"/>
    </row>
    <row r="27" spans="1:7" ht="36.6" customHeight="1">
      <c r="A27" s="184"/>
      <c r="B27" s="185" t="s">
        <v>485</v>
      </c>
      <c r="C27" s="160">
        <v>7116549.0300000003</v>
      </c>
      <c r="D27" s="186">
        <v>7116549.0300000003</v>
      </c>
      <c r="E27" s="161">
        <f t="shared" si="0"/>
        <v>100</v>
      </c>
      <c r="F27" s="172">
        <f t="shared" si="1"/>
        <v>0</v>
      </c>
      <c r="G27" s="167"/>
    </row>
    <row r="28" spans="1:7" ht="36.6" customHeight="1">
      <c r="A28" s="187" t="s">
        <v>194</v>
      </c>
      <c r="B28" s="163" t="s">
        <v>486</v>
      </c>
      <c r="C28" s="188">
        <v>475000</v>
      </c>
      <c r="D28" s="188">
        <v>475000</v>
      </c>
      <c r="E28" s="161">
        <f>(D28/C28)*100</f>
        <v>100</v>
      </c>
      <c r="F28" s="172">
        <f>C28-D28</f>
        <v>0</v>
      </c>
      <c r="G28" s="167" t="s">
        <v>23</v>
      </c>
    </row>
    <row r="29" spans="1:7" ht="38.450000000000003" customHeight="1">
      <c r="A29" s="189" t="s">
        <v>487</v>
      </c>
      <c r="B29" s="190" t="s">
        <v>41</v>
      </c>
      <c r="C29" s="191">
        <f>C30+C50</f>
        <v>568818058.8499999</v>
      </c>
      <c r="D29" s="191">
        <f>D30+D50</f>
        <v>567333901.80999994</v>
      </c>
      <c r="E29" s="192">
        <f t="shared" si="0"/>
        <v>99.73908053429237</v>
      </c>
      <c r="F29" s="193">
        <f t="shared" si="1"/>
        <v>1484157.0399999619</v>
      </c>
      <c r="G29" s="152"/>
    </row>
    <row r="30" spans="1:7" ht="37.35" customHeight="1">
      <c r="A30" s="179"/>
      <c r="B30" s="180" t="s">
        <v>488</v>
      </c>
      <c r="C30" s="155">
        <f>C31</f>
        <v>116068184.06999999</v>
      </c>
      <c r="D30" s="155">
        <f>D31</f>
        <v>115598212.19999999</v>
      </c>
      <c r="E30" s="156">
        <f t="shared" si="0"/>
        <v>99.595089839850885</v>
      </c>
      <c r="F30" s="157">
        <f t="shared" si="1"/>
        <v>469971.87000000477</v>
      </c>
      <c r="G30" s="146"/>
    </row>
    <row r="31" spans="1:7" ht="60" customHeight="1">
      <c r="A31" s="194" t="s">
        <v>175</v>
      </c>
      <c r="B31" s="195" t="s">
        <v>489</v>
      </c>
      <c r="C31" s="188">
        <f>C32+C38+C39+C40+C41+C43+C48+C42+C49</f>
        <v>116068184.06999999</v>
      </c>
      <c r="D31" s="188">
        <f>D32+D38+D39+D40+D41+D43+D48+D42+D49</f>
        <v>115598212.19999999</v>
      </c>
      <c r="E31" s="161">
        <f t="shared" si="0"/>
        <v>99.595089839850885</v>
      </c>
      <c r="F31" s="166">
        <f t="shared" si="1"/>
        <v>469971.87000000477</v>
      </c>
      <c r="G31" s="146"/>
    </row>
    <row r="32" spans="1:7" ht="35.1" customHeight="1">
      <c r="A32" s="810" t="s">
        <v>43</v>
      </c>
      <c r="B32" s="196" t="s">
        <v>490</v>
      </c>
      <c r="C32" s="188">
        <f>C33+C34+C35+C36+C37</f>
        <v>73924955.519999996</v>
      </c>
      <c r="D32" s="188">
        <f>D33+D34+D35+D36+D37</f>
        <v>73924955.519999996</v>
      </c>
      <c r="E32" s="161">
        <f t="shared" si="0"/>
        <v>100</v>
      </c>
      <c r="F32" s="166">
        <f t="shared" si="1"/>
        <v>0</v>
      </c>
      <c r="G32" s="146"/>
    </row>
    <row r="33" spans="1:7" ht="35.1" customHeight="1">
      <c r="A33" s="810"/>
      <c r="B33" s="197" t="s">
        <v>491</v>
      </c>
      <c r="C33" s="198">
        <v>27015970</v>
      </c>
      <c r="D33" s="199">
        <v>27015970</v>
      </c>
      <c r="E33" s="161">
        <f t="shared" si="0"/>
        <v>100</v>
      </c>
      <c r="F33" s="166">
        <f t="shared" si="1"/>
        <v>0</v>
      </c>
      <c r="G33" s="167" t="s">
        <v>23</v>
      </c>
    </row>
    <row r="34" spans="1:7" ht="35.1" customHeight="1">
      <c r="A34" s="810"/>
      <c r="B34" s="197" t="s">
        <v>492</v>
      </c>
      <c r="C34" s="200">
        <v>3477400.01</v>
      </c>
      <c r="D34" s="201">
        <v>3477400.01</v>
      </c>
      <c r="E34" s="161">
        <f t="shared" si="0"/>
        <v>100</v>
      </c>
      <c r="F34" s="166">
        <f t="shared" si="1"/>
        <v>0</v>
      </c>
      <c r="G34" s="167" t="s">
        <v>23</v>
      </c>
    </row>
    <row r="35" spans="1:7" ht="35.1" customHeight="1">
      <c r="A35" s="810"/>
      <c r="B35" s="197" t="s">
        <v>493</v>
      </c>
      <c r="C35" s="200">
        <v>20741707.32</v>
      </c>
      <c r="D35" s="201">
        <v>20741707.32</v>
      </c>
      <c r="E35" s="161">
        <f t="shared" si="0"/>
        <v>100</v>
      </c>
      <c r="F35" s="166">
        <f t="shared" si="1"/>
        <v>0</v>
      </c>
      <c r="G35" s="167" t="s">
        <v>23</v>
      </c>
    </row>
    <row r="36" spans="1:7" ht="35.1" customHeight="1">
      <c r="A36" s="810"/>
      <c r="B36" s="197" t="s">
        <v>494</v>
      </c>
      <c r="C36" s="200">
        <v>16727186.73</v>
      </c>
      <c r="D36" s="201">
        <v>16727186.73</v>
      </c>
      <c r="E36" s="161">
        <f t="shared" si="0"/>
        <v>100</v>
      </c>
      <c r="F36" s="166">
        <f t="shared" si="1"/>
        <v>0</v>
      </c>
      <c r="G36" s="167" t="s">
        <v>23</v>
      </c>
    </row>
    <row r="37" spans="1:7" ht="35.1" customHeight="1">
      <c r="A37" s="810"/>
      <c r="B37" s="197" t="s">
        <v>495</v>
      </c>
      <c r="C37" s="198">
        <v>5962691.46</v>
      </c>
      <c r="D37" s="199">
        <v>5962691.46</v>
      </c>
      <c r="E37" s="161">
        <f t="shared" si="0"/>
        <v>100</v>
      </c>
      <c r="F37" s="166">
        <f t="shared" si="1"/>
        <v>0</v>
      </c>
      <c r="G37" s="167" t="s">
        <v>23</v>
      </c>
    </row>
    <row r="38" spans="1:7" ht="48.6" customHeight="1">
      <c r="A38" s="202" t="s">
        <v>197</v>
      </c>
      <c r="B38" s="203" t="s">
        <v>48</v>
      </c>
      <c r="C38" s="170">
        <v>13966550</v>
      </c>
      <c r="D38" s="170">
        <v>13966550</v>
      </c>
      <c r="E38" s="161">
        <f t="shared" si="0"/>
        <v>100</v>
      </c>
      <c r="F38" s="172">
        <f t="shared" si="1"/>
        <v>0</v>
      </c>
      <c r="G38" s="204" t="s">
        <v>496</v>
      </c>
    </row>
    <row r="39" spans="1:7" ht="54" customHeight="1">
      <c r="A39" s="184" t="s">
        <v>198</v>
      </c>
      <c r="B39" s="185" t="s">
        <v>50</v>
      </c>
      <c r="C39" s="200">
        <v>533108.55000000005</v>
      </c>
      <c r="D39" s="200">
        <v>478500</v>
      </c>
      <c r="E39" s="161">
        <f t="shared" si="0"/>
        <v>89.756579593405505</v>
      </c>
      <c r="F39" s="166">
        <f t="shared" si="1"/>
        <v>54608.550000000047</v>
      </c>
      <c r="G39" s="146"/>
    </row>
    <row r="40" spans="1:7" ht="32.450000000000003" customHeight="1">
      <c r="A40" s="184" t="s">
        <v>199</v>
      </c>
      <c r="B40" s="185" t="s">
        <v>52</v>
      </c>
      <c r="C40" s="200">
        <v>30000</v>
      </c>
      <c r="D40" s="200">
        <v>30000</v>
      </c>
      <c r="E40" s="161">
        <f t="shared" si="0"/>
        <v>100</v>
      </c>
      <c r="F40" s="166">
        <f t="shared" si="1"/>
        <v>0</v>
      </c>
      <c r="G40" s="146"/>
    </row>
    <row r="41" spans="1:7" ht="33.6" customHeight="1">
      <c r="A41" s="184" t="s">
        <v>202</v>
      </c>
      <c r="B41" s="185" t="s">
        <v>497</v>
      </c>
      <c r="C41" s="200">
        <v>21912500</v>
      </c>
      <c r="D41" s="200">
        <v>21912500</v>
      </c>
      <c r="E41" s="161">
        <f t="shared" si="0"/>
        <v>100</v>
      </c>
      <c r="F41" s="166">
        <f t="shared" si="1"/>
        <v>0</v>
      </c>
      <c r="G41" s="146"/>
    </row>
    <row r="42" spans="1:7" ht="21.6" customHeight="1">
      <c r="A42" s="187" t="s">
        <v>204</v>
      </c>
      <c r="B42" s="169" t="s">
        <v>498</v>
      </c>
      <c r="C42" s="170">
        <v>669000</v>
      </c>
      <c r="D42" s="170">
        <v>415000</v>
      </c>
      <c r="E42" s="161">
        <f t="shared" si="0"/>
        <v>62.03288490284006</v>
      </c>
      <c r="F42" s="172">
        <f t="shared" si="1"/>
        <v>254000</v>
      </c>
      <c r="G42" s="146"/>
    </row>
    <row r="43" spans="1:7" ht="41.45" customHeight="1">
      <c r="A43" s="187" t="s">
        <v>205</v>
      </c>
      <c r="B43" s="169" t="s">
        <v>153</v>
      </c>
      <c r="C43" s="170">
        <f>C44+C45+C46+C47</f>
        <v>32070</v>
      </c>
      <c r="D43" s="170">
        <f>D44+D45+D46+D47</f>
        <v>32045</v>
      </c>
      <c r="E43" s="161">
        <f>(D43/C43)*100</f>
        <v>99.922045525413168</v>
      </c>
      <c r="F43" s="172">
        <f>C43-D43</f>
        <v>25</v>
      </c>
      <c r="G43" s="146"/>
    </row>
    <row r="44" spans="1:7" ht="25.35" customHeight="1">
      <c r="A44" s="187"/>
      <c r="B44" s="197" t="s">
        <v>499</v>
      </c>
      <c r="C44" s="205">
        <v>3300</v>
      </c>
      <c r="D44" s="205">
        <v>3300</v>
      </c>
      <c r="E44" s="161">
        <f>(D44/C44)*100</f>
        <v>100</v>
      </c>
      <c r="F44" s="206">
        <f>C44-D44</f>
        <v>0</v>
      </c>
      <c r="G44" s="146"/>
    </row>
    <row r="45" spans="1:7" ht="25.35" customHeight="1">
      <c r="A45" s="187"/>
      <c r="B45" s="197" t="s">
        <v>23</v>
      </c>
      <c r="C45" s="205">
        <v>10000</v>
      </c>
      <c r="D45" s="205">
        <v>9975</v>
      </c>
      <c r="E45" s="161">
        <f>(D45/C45)*100</f>
        <v>99.75</v>
      </c>
      <c r="F45" s="206">
        <f>C45-D45</f>
        <v>25</v>
      </c>
      <c r="G45" s="146"/>
    </row>
    <row r="46" spans="1:7" ht="25.35" customHeight="1">
      <c r="A46" s="187"/>
      <c r="B46" s="197" t="s">
        <v>500</v>
      </c>
      <c r="C46" s="205">
        <v>15020</v>
      </c>
      <c r="D46" s="207">
        <v>15020</v>
      </c>
      <c r="E46" s="161">
        <f>(D46/C46)*100</f>
        <v>100</v>
      </c>
      <c r="F46" s="206">
        <f>C46-D46</f>
        <v>0</v>
      </c>
      <c r="G46" s="146"/>
    </row>
    <row r="47" spans="1:7" ht="25.35" customHeight="1">
      <c r="A47" s="187"/>
      <c r="B47" s="197" t="s">
        <v>501</v>
      </c>
      <c r="C47" s="208">
        <v>3750</v>
      </c>
      <c r="D47" s="207">
        <v>3750</v>
      </c>
      <c r="E47" s="161">
        <f>(D47/C47)*100</f>
        <v>100</v>
      </c>
      <c r="F47" s="206"/>
      <c r="G47" s="146"/>
    </row>
    <row r="48" spans="1:7" ht="25.35" customHeight="1">
      <c r="A48" s="187" t="s">
        <v>206</v>
      </c>
      <c r="B48" s="196" t="s">
        <v>207</v>
      </c>
      <c r="C48" s="209">
        <v>0</v>
      </c>
      <c r="D48" s="170">
        <v>0</v>
      </c>
      <c r="E48" s="161">
        <v>0</v>
      </c>
      <c r="F48" s="172">
        <f>C48-D48</f>
        <v>0</v>
      </c>
      <c r="G48" s="146"/>
    </row>
    <row r="49" spans="1:8" ht="44.45" customHeight="1">
      <c r="A49" s="187" t="s">
        <v>274</v>
      </c>
      <c r="B49" s="196" t="s">
        <v>502</v>
      </c>
      <c r="C49" s="209">
        <v>5000000</v>
      </c>
      <c r="D49" s="170">
        <v>4838661.68</v>
      </c>
      <c r="E49" s="161">
        <f>(D49/C49)*100</f>
        <v>96.773233599999998</v>
      </c>
      <c r="F49" s="172">
        <f>C49-D49</f>
        <v>161338.3200000003</v>
      </c>
      <c r="G49" s="167" t="s">
        <v>23</v>
      </c>
    </row>
    <row r="50" spans="1:8" ht="40.35" customHeight="1">
      <c r="A50" s="179"/>
      <c r="B50" s="180" t="s">
        <v>503</v>
      </c>
      <c r="C50" s="155">
        <f>C51+C73</f>
        <v>452749874.77999991</v>
      </c>
      <c r="D50" s="155">
        <f>D51+D73</f>
        <v>451735689.60999995</v>
      </c>
      <c r="E50" s="156">
        <f t="shared" si="0"/>
        <v>99.775994378685851</v>
      </c>
      <c r="F50" s="157">
        <f t="shared" si="1"/>
        <v>1014185.1699999571</v>
      </c>
      <c r="G50" s="146"/>
    </row>
    <row r="51" spans="1:8" ht="54.6" customHeight="1">
      <c r="A51" s="210" t="s">
        <v>176</v>
      </c>
      <c r="B51" s="211" t="s">
        <v>504</v>
      </c>
      <c r="C51" s="198">
        <f>C52+C62+C70</f>
        <v>452168334.77999991</v>
      </c>
      <c r="D51" s="198">
        <f>D52+D62+D70</f>
        <v>451154149.60999995</v>
      </c>
      <c r="E51" s="161">
        <f t="shared" si="0"/>
        <v>99.775706281932941</v>
      </c>
      <c r="F51" s="212">
        <f t="shared" si="1"/>
        <v>1014185.1699999571</v>
      </c>
      <c r="G51" s="146"/>
    </row>
    <row r="52" spans="1:8" ht="25.35" customHeight="1">
      <c r="A52" s="811" t="s">
        <v>58</v>
      </c>
      <c r="B52" s="213" t="s">
        <v>490</v>
      </c>
      <c r="C52" s="198">
        <f>C53+C59+C60+C61</f>
        <v>427097177.50999993</v>
      </c>
      <c r="D52" s="198">
        <f>D53+D59+D60+D61</f>
        <v>426267899.01999998</v>
      </c>
      <c r="E52" s="161">
        <f t="shared" si="0"/>
        <v>99.805833769533507</v>
      </c>
      <c r="F52" s="166">
        <f t="shared" si="1"/>
        <v>829278.48999994993</v>
      </c>
      <c r="G52" s="146"/>
    </row>
    <row r="53" spans="1:8" ht="33.6" customHeight="1">
      <c r="A53" s="812"/>
      <c r="B53" s="214" t="s">
        <v>505</v>
      </c>
      <c r="C53" s="188">
        <f>C54+C55+C56+C57+C58</f>
        <v>260897999.72</v>
      </c>
      <c r="D53" s="188">
        <f>D54+D55+D56+D57+D58</f>
        <v>260068721.23000002</v>
      </c>
      <c r="E53" s="161">
        <f t="shared" si="0"/>
        <v>99.682144558068671</v>
      </c>
      <c r="F53" s="166">
        <f t="shared" si="1"/>
        <v>829278.48999997973</v>
      </c>
      <c r="G53" s="146"/>
      <c r="H53" s="215"/>
    </row>
    <row r="54" spans="1:8" ht="25.35" customHeight="1">
      <c r="A54" s="812"/>
      <c r="B54" s="197" t="s">
        <v>501</v>
      </c>
      <c r="C54" s="205">
        <v>67871468.769999996</v>
      </c>
      <c r="D54" s="205">
        <v>67871468.769999996</v>
      </c>
      <c r="E54" s="161">
        <f t="shared" si="0"/>
        <v>100</v>
      </c>
      <c r="F54" s="206">
        <f t="shared" si="1"/>
        <v>0</v>
      </c>
      <c r="G54" s="146"/>
    </row>
    <row r="55" spans="1:8" ht="25.35" customHeight="1">
      <c r="A55" s="812"/>
      <c r="B55" s="197" t="s">
        <v>499</v>
      </c>
      <c r="C55" s="205">
        <v>35739727.560000002</v>
      </c>
      <c r="D55" s="205">
        <v>35739727.560000002</v>
      </c>
      <c r="E55" s="161">
        <f t="shared" si="0"/>
        <v>100</v>
      </c>
      <c r="F55" s="206">
        <f t="shared" si="1"/>
        <v>0</v>
      </c>
      <c r="G55" s="146"/>
    </row>
    <row r="56" spans="1:8" ht="25.35" customHeight="1">
      <c r="A56" s="812"/>
      <c r="B56" s="197" t="s">
        <v>500</v>
      </c>
      <c r="C56" s="205">
        <v>61466371.560000002</v>
      </c>
      <c r="D56" s="205">
        <v>61429095.359999999</v>
      </c>
      <c r="E56" s="161">
        <f t="shared" si="0"/>
        <v>99.939355131832343</v>
      </c>
      <c r="F56" s="206">
        <f t="shared" si="1"/>
        <v>37276.20000000298</v>
      </c>
      <c r="G56" s="146"/>
    </row>
    <row r="57" spans="1:8" ht="25.35" customHeight="1">
      <c r="A57" s="812"/>
      <c r="B57" s="197" t="s">
        <v>506</v>
      </c>
      <c r="C57" s="205">
        <v>46712017.840000004</v>
      </c>
      <c r="D57" s="205">
        <v>46712017.840000004</v>
      </c>
      <c r="E57" s="161">
        <f t="shared" si="0"/>
        <v>100</v>
      </c>
      <c r="F57" s="206">
        <f t="shared" si="1"/>
        <v>0</v>
      </c>
      <c r="G57" s="146"/>
    </row>
    <row r="58" spans="1:8" ht="25.35" customHeight="1">
      <c r="A58" s="812"/>
      <c r="B58" s="216" t="s">
        <v>233</v>
      </c>
      <c r="C58" s="205">
        <v>49108413.990000002</v>
      </c>
      <c r="D58" s="205">
        <v>48316411.700000003</v>
      </c>
      <c r="E58" s="161">
        <f t="shared" si="0"/>
        <v>98.387237082913586</v>
      </c>
      <c r="F58" s="206">
        <f t="shared" si="1"/>
        <v>792002.28999999911</v>
      </c>
      <c r="G58" s="146"/>
    </row>
    <row r="59" spans="1:8" ht="25.35" customHeight="1">
      <c r="A59" s="812"/>
      <c r="B59" s="185" t="s">
        <v>507</v>
      </c>
      <c r="C59" s="200">
        <v>132110618.69</v>
      </c>
      <c r="D59" s="200">
        <v>132110618.69</v>
      </c>
      <c r="E59" s="161">
        <f t="shared" si="0"/>
        <v>100</v>
      </c>
      <c r="F59" s="166">
        <f t="shared" si="1"/>
        <v>0</v>
      </c>
      <c r="G59" s="167" t="s">
        <v>23</v>
      </c>
    </row>
    <row r="60" spans="1:8" ht="25.35" customHeight="1">
      <c r="A60" s="217"/>
      <c r="B60" s="185" t="s">
        <v>508</v>
      </c>
      <c r="C60" s="200">
        <v>1192575.33</v>
      </c>
      <c r="D60" s="200">
        <v>1192575.33</v>
      </c>
      <c r="E60" s="161">
        <f t="shared" si="0"/>
        <v>100</v>
      </c>
      <c r="F60" s="166">
        <f t="shared" si="1"/>
        <v>0</v>
      </c>
      <c r="G60" s="167" t="s">
        <v>23</v>
      </c>
    </row>
    <row r="61" spans="1:8" ht="25.35" customHeight="1">
      <c r="A61" s="217"/>
      <c r="B61" s="218" t="s">
        <v>509</v>
      </c>
      <c r="C61" s="200">
        <v>32895983.77</v>
      </c>
      <c r="D61" s="219">
        <v>32895983.77</v>
      </c>
      <c r="E61" s="161">
        <f>(D61/C61)*100</f>
        <v>100</v>
      </c>
      <c r="F61" s="166">
        <f>C61-D61</f>
        <v>0</v>
      </c>
      <c r="G61" s="220"/>
    </row>
    <row r="62" spans="1:8" ht="46.35" customHeight="1">
      <c r="A62" s="221" t="s">
        <v>58</v>
      </c>
      <c r="B62" s="218" t="s">
        <v>510</v>
      </c>
      <c r="C62" s="222">
        <f>C63+C64+C65+C66+C67+C69+C68</f>
        <v>3503692.27</v>
      </c>
      <c r="D62" s="222">
        <f>D63+D64+D65+D66+D67+D69+D68</f>
        <v>3318785.59</v>
      </c>
      <c r="E62" s="223">
        <f t="shared" si="0"/>
        <v>94.722519395232155</v>
      </c>
      <c r="F62" s="224">
        <f t="shared" si="1"/>
        <v>184906.68000000017</v>
      </c>
      <c r="G62" s="225"/>
    </row>
    <row r="63" spans="1:8" ht="25.35" customHeight="1">
      <c r="A63" s="226"/>
      <c r="B63" s="196" t="s">
        <v>501</v>
      </c>
      <c r="C63" s="205">
        <v>522000</v>
      </c>
      <c r="D63" s="205">
        <v>387911.97</v>
      </c>
      <c r="E63" s="161">
        <f t="shared" si="0"/>
        <v>74.312637931034473</v>
      </c>
      <c r="F63" s="206">
        <f t="shared" si="1"/>
        <v>134088.03000000003</v>
      </c>
      <c r="G63" s="146"/>
    </row>
    <row r="64" spans="1:8" ht="25.35" customHeight="1">
      <c r="A64" s="227"/>
      <c r="B64" s="197" t="s">
        <v>499</v>
      </c>
      <c r="C64" s="207">
        <v>157161.67000000001</v>
      </c>
      <c r="D64" s="205">
        <v>144187.07999999999</v>
      </c>
      <c r="E64" s="161">
        <f t="shared" si="0"/>
        <v>91.744431068975004</v>
      </c>
      <c r="F64" s="206">
        <f t="shared" si="1"/>
        <v>12974.590000000026</v>
      </c>
      <c r="G64" s="146"/>
    </row>
    <row r="65" spans="1:7" ht="25.35" customHeight="1">
      <c r="A65" s="227"/>
      <c r="B65" s="197" t="s">
        <v>500</v>
      </c>
      <c r="C65" s="207">
        <v>217912.12</v>
      </c>
      <c r="D65" s="205">
        <v>217912.12</v>
      </c>
      <c r="E65" s="161">
        <f t="shared" si="0"/>
        <v>100</v>
      </c>
      <c r="F65" s="206">
        <f t="shared" si="1"/>
        <v>0</v>
      </c>
      <c r="G65" s="146"/>
    </row>
    <row r="66" spans="1:7" ht="25.35" customHeight="1">
      <c r="A66" s="227"/>
      <c r="B66" s="197" t="s">
        <v>506</v>
      </c>
      <c r="C66" s="207">
        <v>139992.26999999999</v>
      </c>
      <c r="D66" s="207">
        <v>139560.57999999999</v>
      </c>
      <c r="E66" s="161">
        <f t="shared" si="0"/>
        <v>99.691632973734897</v>
      </c>
      <c r="F66" s="206">
        <f t="shared" si="1"/>
        <v>431.69000000000233</v>
      </c>
      <c r="G66" s="146"/>
    </row>
    <row r="67" spans="1:7" ht="25.35" customHeight="1">
      <c r="A67" s="227"/>
      <c r="B67" s="197" t="s">
        <v>233</v>
      </c>
      <c r="C67" s="207">
        <v>498847.21</v>
      </c>
      <c r="D67" s="207">
        <v>498847.21</v>
      </c>
      <c r="E67" s="161">
        <f t="shared" si="0"/>
        <v>100</v>
      </c>
      <c r="F67" s="206">
        <f t="shared" si="1"/>
        <v>0</v>
      </c>
      <c r="G67" s="146"/>
    </row>
    <row r="68" spans="1:7" ht="25.35" customHeight="1">
      <c r="A68" s="227"/>
      <c r="B68" s="216" t="s">
        <v>23</v>
      </c>
      <c r="C68" s="228">
        <v>1400000</v>
      </c>
      <c r="D68" s="228">
        <v>1362587.86</v>
      </c>
      <c r="E68" s="229">
        <f>(D68/C68)*100</f>
        <v>97.32770428571429</v>
      </c>
      <c r="F68" s="230">
        <f>C68-D68</f>
        <v>37412.139999999898</v>
      </c>
      <c r="G68" s="231"/>
    </row>
    <row r="69" spans="1:7" ht="25.35" customHeight="1">
      <c r="A69" s="227"/>
      <c r="B69" s="232" t="s">
        <v>509</v>
      </c>
      <c r="C69" s="228">
        <v>567779</v>
      </c>
      <c r="D69" s="228">
        <v>567778.77</v>
      </c>
      <c r="E69" s="229">
        <f t="shared" si="0"/>
        <v>99.999959491280947</v>
      </c>
      <c r="F69" s="230">
        <f t="shared" si="1"/>
        <v>0.22999999998137355</v>
      </c>
      <c r="G69" s="231"/>
    </row>
    <row r="70" spans="1:7" ht="45" customHeight="1">
      <c r="A70" s="221" t="s">
        <v>511</v>
      </c>
      <c r="B70" s="196" t="s">
        <v>512</v>
      </c>
      <c r="C70" s="233">
        <f>C71+C72</f>
        <v>21567465</v>
      </c>
      <c r="D70" s="233">
        <f>D71+D72</f>
        <v>21567465</v>
      </c>
      <c r="E70" s="229">
        <f t="shared" si="0"/>
        <v>100</v>
      </c>
      <c r="F70" s="166">
        <f t="shared" si="1"/>
        <v>0</v>
      </c>
      <c r="G70" s="167" t="s">
        <v>23</v>
      </c>
    </row>
    <row r="71" spans="1:7" ht="22.5" customHeight="1">
      <c r="A71" s="234"/>
      <c r="B71" s="232" t="s">
        <v>513</v>
      </c>
      <c r="C71" s="207">
        <v>15312900</v>
      </c>
      <c r="D71" s="207">
        <v>15312900</v>
      </c>
      <c r="E71" s="229">
        <f t="shared" si="0"/>
        <v>100</v>
      </c>
      <c r="F71" s="230">
        <f t="shared" si="1"/>
        <v>0</v>
      </c>
      <c r="G71" s="167" t="s">
        <v>23</v>
      </c>
    </row>
    <row r="72" spans="1:7" ht="21" customHeight="1">
      <c r="A72" s="235"/>
      <c r="B72" s="232" t="s">
        <v>476</v>
      </c>
      <c r="C72" s="207">
        <v>6254565</v>
      </c>
      <c r="D72" s="207">
        <v>6254565</v>
      </c>
      <c r="E72" s="229">
        <f t="shared" si="0"/>
        <v>100</v>
      </c>
      <c r="F72" s="206">
        <f t="shared" si="1"/>
        <v>0</v>
      </c>
      <c r="G72" s="167" t="s">
        <v>23</v>
      </c>
    </row>
    <row r="73" spans="1:7" ht="41.45" customHeight="1">
      <c r="A73" s="236" t="s">
        <v>177</v>
      </c>
      <c r="B73" s="237" t="s">
        <v>514</v>
      </c>
      <c r="C73" s="222">
        <f>C74</f>
        <v>581540</v>
      </c>
      <c r="D73" s="222">
        <f>D74</f>
        <v>581540</v>
      </c>
      <c r="E73" s="161">
        <f t="shared" ref="E73:E98" si="2">(D73/C73)*100</f>
        <v>100</v>
      </c>
      <c r="F73" s="224">
        <f t="shared" si="1"/>
        <v>0</v>
      </c>
      <c r="G73" s="225"/>
    </row>
    <row r="74" spans="1:7" ht="33" customHeight="1">
      <c r="A74" s="238" t="s">
        <v>211</v>
      </c>
      <c r="B74" s="239" t="s">
        <v>70</v>
      </c>
      <c r="C74" s="188">
        <f>C75+C76+C77+C78+C79+C80</f>
        <v>581540</v>
      </c>
      <c r="D74" s="188">
        <f>D75+D76+D77+D78+D79+D80</f>
        <v>581540</v>
      </c>
      <c r="E74" s="161">
        <f t="shared" si="2"/>
        <v>100</v>
      </c>
      <c r="F74" s="166">
        <f t="shared" ref="F74:F98" si="3">C74-D74</f>
        <v>0</v>
      </c>
      <c r="G74" s="146"/>
    </row>
    <row r="75" spans="1:7" ht="25.35" customHeight="1">
      <c r="A75" s="240"/>
      <c r="B75" s="197" t="s">
        <v>501</v>
      </c>
      <c r="C75" s="207">
        <v>50000</v>
      </c>
      <c r="D75" s="207">
        <v>50000</v>
      </c>
      <c r="E75" s="161">
        <f t="shared" si="2"/>
        <v>100</v>
      </c>
      <c r="F75" s="206">
        <f t="shared" si="3"/>
        <v>0</v>
      </c>
      <c r="G75" s="146"/>
    </row>
    <row r="76" spans="1:7" ht="25.35" customHeight="1">
      <c r="A76" s="240"/>
      <c r="B76" s="197" t="s">
        <v>499</v>
      </c>
      <c r="C76" s="207">
        <v>80000</v>
      </c>
      <c r="D76" s="207">
        <v>80000</v>
      </c>
      <c r="E76" s="161">
        <f t="shared" si="2"/>
        <v>100</v>
      </c>
      <c r="F76" s="206">
        <f t="shared" si="3"/>
        <v>0</v>
      </c>
      <c r="G76" s="146"/>
    </row>
    <row r="77" spans="1:7" ht="25.35" customHeight="1">
      <c r="A77" s="240"/>
      <c r="B77" s="197" t="s">
        <v>500</v>
      </c>
      <c r="C77" s="207">
        <v>80000</v>
      </c>
      <c r="D77" s="207">
        <v>80000</v>
      </c>
      <c r="E77" s="161">
        <f t="shared" si="2"/>
        <v>100</v>
      </c>
      <c r="F77" s="206">
        <f t="shared" si="3"/>
        <v>0</v>
      </c>
      <c r="G77" s="146"/>
    </row>
    <row r="78" spans="1:7" ht="25.35" customHeight="1">
      <c r="A78" s="240"/>
      <c r="B78" s="197" t="s">
        <v>506</v>
      </c>
      <c r="C78" s="207">
        <v>100000</v>
      </c>
      <c r="D78" s="207">
        <v>100000</v>
      </c>
      <c r="E78" s="161">
        <f t="shared" si="2"/>
        <v>100</v>
      </c>
      <c r="F78" s="206">
        <f t="shared" si="3"/>
        <v>0</v>
      </c>
      <c r="G78" s="146"/>
    </row>
    <row r="79" spans="1:7" ht="25.35" customHeight="1">
      <c r="A79" s="240"/>
      <c r="B79" s="197" t="s">
        <v>233</v>
      </c>
      <c r="C79" s="207">
        <v>100000</v>
      </c>
      <c r="D79" s="207">
        <v>100000</v>
      </c>
      <c r="E79" s="161">
        <f t="shared" si="2"/>
        <v>100</v>
      </c>
      <c r="F79" s="206">
        <f t="shared" si="3"/>
        <v>0</v>
      </c>
      <c r="G79" s="146"/>
    </row>
    <row r="80" spans="1:7" ht="25.35" customHeight="1">
      <c r="A80" s="240"/>
      <c r="B80" s="197" t="s">
        <v>515</v>
      </c>
      <c r="C80" s="207">
        <v>171540</v>
      </c>
      <c r="D80" s="207">
        <v>171540</v>
      </c>
      <c r="E80" s="161">
        <f t="shared" si="2"/>
        <v>100</v>
      </c>
      <c r="F80" s="206">
        <f t="shared" si="3"/>
        <v>0</v>
      </c>
      <c r="G80" s="146"/>
    </row>
    <row r="81" spans="1:7" ht="38.450000000000003" customHeight="1">
      <c r="A81" s="241" t="s">
        <v>76</v>
      </c>
      <c r="B81" s="242" t="s">
        <v>77</v>
      </c>
      <c r="C81" s="191">
        <f>C82+C84</f>
        <v>12664554.129999999</v>
      </c>
      <c r="D81" s="191">
        <f>D82+D84</f>
        <v>12664554.129999999</v>
      </c>
      <c r="E81" s="192">
        <f t="shared" si="2"/>
        <v>100</v>
      </c>
      <c r="F81" s="193">
        <f t="shared" si="3"/>
        <v>0</v>
      </c>
      <c r="G81" s="152"/>
    </row>
    <row r="82" spans="1:7" ht="49.5" customHeight="1">
      <c r="A82" s="243" t="s">
        <v>178</v>
      </c>
      <c r="B82" s="237" t="s">
        <v>516</v>
      </c>
      <c r="C82" s="188">
        <f>C83</f>
        <v>2977499</v>
      </c>
      <c r="D82" s="188">
        <f>D83</f>
        <v>2977499</v>
      </c>
      <c r="E82" s="188">
        <f>E83</f>
        <v>100</v>
      </c>
      <c r="F82" s="188">
        <f>F83</f>
        <v>0</v>
      </c>
      <c r="G82" s="152"/>
    </row>
    <row r="83" spans="1:7" ht="26.1" customHeight="1">
      <c r="A83" s="244" t="s">
        <v>215</v>
      </c>
      <c r="B83" s="204" t="s">
        <v>216</v>
      </c>
      <c r="C83" s="188">
        <v>2977499</v>
      </c>
      <c r="D83" s="188">
        <v>2977499</v>
      </c>
      <c r="E83" s="161">
        <f t="shared" si="2"/>
        <v>100</v>
      </c>
      <c r="F83" s="172">
        <f t="shared" si="3"/>
        <v>0</v>
      </c>
      <c r="G83" s="171" t="s">
        <v>471</v>
      </c>
    </row>
    <row r="84" spans="1:7" ht="72.75" customHeight="1">
      <c r="A84" s="243" t="s">
        <v>102</v>
      </c>
      <c r="B84" s="245" t="s">
        <v>517</v>
      </c>
      <c r="C84" s="188">
        <f>C85+C86</f>
        <v>9687055.129999999</v>
      </c>
      <c r="D84" s="188">
        <f>D85+D86</f>
        <v>9687055.129999999</v>
      </c>
      <c r="E84" s="161">
        <f t="shared" si="2"/>
        <v>100</v>
      </c>
      <c r="F84" s="188">
        <f>F85+F86</f>
        <v>0</v>
      </c>
      <c r="G84" s="146"/>
    </row>
    <row r="85" spans="1:7" ht="33.6" customHeight="1">
      <c r="A85" s="246" t="s">
        <v>102</v>
      </c>
      <c r="B85" s="204" t="s">
        <v>106</v>
      </c>
      <c r="C85" s="247">
        <v>6000000</v>
      </c>
      <c r="D85" s="248">
        <v>6000000</v>
      </c>
      <c r="E85" s="161">
        <f t="shared" si="2"/>
        <v>100</v>
      </c>
      <c r="F85" s="172">
        <f t="shared" si="3"/>
        <v>0</v>
      </c>
      <c r="G85" s="171" t="s">
        <v>471</v>
      </c>
    </row>
    <row r="86" spans="1:7" ht="42" customHeight="1">
      <c r="A86" s="246" t="s">
        <v>251</v>
      </c>
      <c r="B86" s="204" t="s">
        <v>252</v>
      </c>
      <c r="C86" s="249">
        <v>3687055.13</v>
      </c>
      <c r="D86" s="207">
        <v>3687055.13</v>
      </c>
      <c r="E86" s="161">
        <f>(D86/C86)*100</f>
        <v>100</v>
      </c>
      <c r="F86" s="166">
        <f>C86-D86</f>
        <v>0</v>
      </c>
      <c r="G86" s="171" t="s">
        <v>518</v>
      </c>
    </row>
    <row r="87" spans="1:7" ht="31.5">
      <c r="A87" s="250" t="s">
        <v>129</v>
      </c>
      <c r="B87" s="251" t="s">
        <v>130</v>
      </c>
      <c r="C87" s="191">
        <f>C88</f>
        <v>28126191.27</v>
      </c>
      <c r="D87" s="191">
        <f>D88</f>
        <v>27316498.98</v>
      </c>
      <c r="E87" s="192">
        <f t="shared" si="2"/>
        <v>97.121216014542171</v>
      </c>
      <c r="F87" s="193">
        <f t="shared" si="3"/>
        <v>809692.28999999911</v>
      </c>
      <c r="G87" s="152"/>
    </row>
    <row r="88" spans="1:7" ht="59.1" customHeight="1">
      <c r="A88" s="252" t="s">
        <v>134</v>
      </c>
      <c r="B88" s="253" t="s">
        <v>519</v>
      </c>
      <c r="C88" s="233">
        <v>28126191.27</v>
      </c>
      <c r="D88" s="233">
        <v>27316498.98</v>
      </c>
      <c r="E88" s="161">
        <f t="shared" si="2"/>
        <v>97.121216014542171</v>
      </c>
      <c r="F88" s="166">
        <f t="shared" si="3"/>
        <v>809692.28999999911</v>
      </c>
      <c r="G88" s="146"/>
    </row>
    <row r="89" spans="1:7" ht="38.1" customHeight="1">
      <c r="A89" s="254"/>
      <c r="B89" s="255" t="s">
        <v>520</v>
      </c>
      <c r="C89" s="256">
        <f t="shared" ref="C89:F90" si="4">C90</f>
        <v>1873095</v>
      </c>
      <c r="D89" s="256">
        <f t="shared" si="4"/>
        <v>1873095</v>
      </c>
      <c r="E89" s="257">
        <f t="shared" si="2"/>
        <v>100</v>
      </c>
      <c r="F89" s="258">
        <f t="shared" si="3"/>
        <v>0</v>
      </c>
      <c r="G89" s="146"/>
    </row>
    <row r="90" spans="1:7" ht="42.75" customHeight="1">
      <c r="A90" s="259"/>
      <c r="B90" s="260" t="s">
        <v>521</v>
      </c>
      <c r="C90" s="198">
        <f>C91</f>
        <v>1873095</v>
      </c>
      <c r="D90" s="198">
        <f t="shared" si="4"/>
        <v>1873095</v>
      </c>
      <c r="E90" s="198">
        <f t="shared" si="4"/>
        <v>100</v>
      </c>
      <c r="F90" s="198">
        <f t="shared" si="4"/>
        <v>0</v>
      </c>
      <c r="G90" s="146"/>
    </row>
    <row r="91" spans="1:7" ht="38.450000000000003" customHeight="1">
      <c r="A91" s="259"/>
      <c r="B91" s="261" t="s">
        <v>522</v>
      </c>
      <c r="C91" s="198">
        <f>C92+C93</f>
        <v>1873095</v>
      </c>
      <c r="D91" s="198">
        <f>D92+D93</f>
        <v>1873095</v>
      </c>
      <c r="E91" s="161">
        <f t="shared" si="2"/>
        <v>100</v>
      </c>
      <c r="F91" s="198">
        <f>F92+F93</f>
        <v>0</v>
      </c>
      <c r="G91" s="146"/>
    </row>
    <row r="92" spans="1:7" ht="53.45" customHeight="1">
      <c r="A92" s="262"/>
      <c r="B92" s="263" t="s">
        <v>523</v>
      </c>
      <c r="C92" s="248">
        <v>430200</v>
      </c>
      <c r="D92" s="264">
        <v>430200</v>
      </c>
      <c r="E92" s="161">
        <f t="shared" si="2"/>
        <v>100</v>
      </c>
      <c r="F92" s="172">
        <f t="shared" si="3"/>
        <v>0</v>
      </c>
      <c r="G92" s="146"/>
    </row>
    <row r="93" spans="1:7" ht="67.349999999999994" customHeight="1">
      <c r="A93" s="259"/>
      <c r="B93" s="265" t="s">
        <v>524</v>
      </c>
      <c r="C93" s="266">
        <v>1442895</v>
      </c>
      <c r="D93" s="267">
        <v>1442895</v>
      </c>
      <c r="E93" s="161">
        <f t="shared" si="2"/>
        <v>100</v>
      </c>
      <c r="F93" s="166">
        <f t="shared" si="3"/>
        <v>0</v>
      </c>
      <c r="G93" s="146"/>
    </row>
    <row r="94" spans="1:7" ht="39.6" customHeight="1">
      <c r="A94" s="268"/>
      <c r="B94" s="269" t="s">
        <v>525</v>
      </c>
      <c r="C94" s="270">
        <f t="shared" ref="C94:D97" si="5">C95</f>
        <v>298080</v>
      </c>
      <c r="D94" s="270">
        <f t="shared" si="5"/>
        <v>298080</v>
      </c>
      <c r="E94" s="257">
        <f t="shared" si="2"/>
        <v>100</v>
      </c>
      <c r="F94" s="271">
        <f t="shared" si="3"/>
        <v>0</v>
      </c>
      <c r="G94" s="146"/>
    </row>
    <row r="95" spans="1:7" ht="47.25">
      <c r="A95" s="272"/>
      <c r="B95" s="273" t="s">
        <v>526</v>
      </c>
      <c r="C95" s="198">
        <f t="shared" si="5"/>
        <v>298080</v>
      </c>
      <c r="D95" s="198">
        <f t="shared" si="5"/>
        <v>298080</v>
      </c>
      <c r="E95" s="161">
        <f t="shared" si="2"/>
        <v>100</v>
      </c>
      <c r="F95" s="166">
        <f t="shared" si="3"/>
        <v>0</v>
      </c>
      <c r="G95" s="146"/>
    </row>
    <row r="96" spans="1:7" ht="35.1" customHeight="1">
      <c r="A96" s="272"/>
      <c r="B96" s="274" t="s">
        <v>527</v>
      </c>
      <c r="C96" s="198">
        <f t="shared" si="5"/>
        <v>298080</v>
      </c>
      <c r="D96" s="198">
        <f t="shared" si="5"/>
        <v>298080</v>
      </c>
      <c r="E96" s="161">
        <f t="shared" si="2"/>
        <v>100</v>
      </c>
      <c r="F96" s="166">
        <f t="shared" si="3"/>
        <v>0</v>
      </c>
      <c r="G96" s="146"/>
    </row>
    <row r="97" spans="1:7" ht="51" customHeight="1">
      <c r="A97" s="272"/>
      <c r="B97" s="275" t="s">
        <v>528</v>
      </c>
      <c r="C97" s="198">
        <f t="shared" si="5"/>
        <v>298080</v>
      </c>
      <c r="D97" s="198">
        <f t="shared" si="5"/>
        <v>298080</v>
      </c>
      <c r="E97" s="161">
        <f t="shared" si="2"/>
        <v>100</v>
      </c>
      <c r="F97" s="166">
        <f t="shared" si="3"/>
        <v>0</v>
      </c>
      <c r="G97" s="146"/>
    </row>
    <row r="98" spans="1:7" ht="29.45" customHeight="1">
      <c r="A98" s="272"/>
      <c r="B98" s="276" t="s">
        <v>529</v>
      </c>
      <c r="C98" s="277">
        <v>298080</v>
      </c>
      <c r="D98" s="277">
        <v>298080</v>
      </c>
      <c r="E98" s="161">
        <f t="shared" si="2"/>
        <v>100</v>
      </c>
      <c r="F98" s="166">
        <f t="shared" si="3"/>
        <v>0</v>
      </c>
      <c r="G98" s="146"/>
    </row>
    <row r="99" spans="1:7" ht="15">
      <c r="C99" s="278"/>
      <c r="D99" s="279" t="s">
        <v>530</v>
      </c>
      <c r="E99" s="279"/>
      <c r="F99" s="278"/>
      <c r="G99" s="280"/>
    </row>
    <row r="100" spans="1:7" ht="15">
      <c r="C100" s="278"/>
      <c r="D100" s="279"/>
      <c r="E100" s="279"/>
      <c r="F100" s="278"/>
      <c r="G100" s="280"/>
    </row>
    <row r="101" spans="1:7" ht="15">
      <c r="C101" s="278"/>
      <c r="D101" s="279"/>
      <c r="E101" s="279"/>
      <c r="F101" s="278"/>
      <c r="G101" s="280"/>
    </row>
    <row r="102" spans="1:7" ht="15">
      <c r="C102" s="278"/>
      <c r="D102" s="279"/>
      <c r="E102" s="279"/>
      <c r="F102" s="278"/>
      <c r="G102" s="280"/>
    </row>
    <row r="103" spans="1:7" ht="15">
      <c r="C103" s="278"/>
      <c r="D103" s="279"/>
      <c r="E103" s="279"/>
      <c r="F103" s="278"/>
      <c r="G103" s="280"/>
    </row>
    <row r="104" spans="1:7" ht="15">
      <c r="C104" s="278"/>
      <c r="D104" s="279"/>
      <c r="E104" s="279"/>
      <c r="F104" s="278"/>
      <c r="G104" s="280"/>
    </row>
    <row r="105" spans="1:7" ht="15">
      <c r="C105" s="278"/>
      <c r="D105" s="279"/>
      <c r="E105" s="279"/>
      <c r="F105" s="278"/>
      <c r="G105" s="280"/>
    </row>
    <row r="106" spans="1:7" ht="15">
      <c r="C106" s="278"/>
      <c r="D106" s="279"/>
      <c r="E106" s="279"/>
      <c r="F106" s="278"/>
      <c r="G106" s="280"/>
    </row>
    <row r="107" spans="1:7" ht="15">
      <c r="C107" s="278"/>
      <c r="D107" s="279"/>
      <c r="E107" s="279"/>
      <c r="F107" s="278"/>
      <c r="G107" s="280"/>
    </row>
    <row r="108" spans="1:7" ht="15">
      <c r="C108" s="278"/>
      <c r="D108" s="279"/>
      <c r="E108" s="279"/>
      <c r="F108" s="278"/>
      <c r="G108" s="280"/>
    </row>
    <row r="109" spans="1:7" ht="15">
      <c r="C109" s="278"/>
      <c r="D109" s="279"/>
      <c r="E109" s="279"/>
      <c r="F109" s="278"/>
      <c r="G109" s="280"/>
    </row>
    <row r="110" spans="1:7" ht="15">
      <c r="C110" s="278"/>
      <c r="D110" s="279"/>
      <c r="E110" s="279"/>
      <c r="F110" s="278"/>
      <c r="G110" s="280"/>
    </row>
    <row r="111" spans="1:7">
      <c r="C111" s="278"/>
      <c r="D111" s="278"/>
      <c r="E111" s="278"/>
      <c r="F111" s="278"/>
      <c r="G111" s="280"/>
    </row>
    <row r="112" spans="1:7">
      <c r="C112" s="278"/>
      <c r="D112" s="278"/>
      <c r="E112" s="278"/>
      <c r="F112" s="278"/>
      <c r="G112" s="280"/>
    </row>
    <row r="113" spans="3:7">
      <c r="C113" s="278"/>
      <c r="D113" s="278"/>
      <c r="E113" s="278"/>
      <c r="F113" s="278"/>
      <c r="G113" s="280"/>
    </row>
    <row r="114" spans="3:7">
      <c r="C114" s="278"/>
      <c r="D114" s="278"/>
      <c r="E114" s="278"/>
      <c r="F114" s="278"/>
      <c r="G114" s="280"/>
    </row>
    <row r="115" spans="3:7">
      <c r="C115" s="278"/>
      <c r="D115" s="278"/>
      <c r="E115" s="278"/>
      <c r="F115" s="278"/>
      <c r="G115" s="280"/>
    </row>
    <row r="116" spans="3:7">
      <c r="C116" s="278"/>
      <c r="D116" s="278"/>
      <c r="E116" s="278"/>
      <c r="F116" s="278"/>
      <c r="G116" s="280"/>
    </row>
    <row r="117" spans="3:7">
      <c r="C117" s="278"/>
      <c r="D117" s="278"/>
      <c r="E117" s="278"/>
      <c r="F117" s="278"/>
      <c r="G117" s="280"/>
    </row>
    <row r="118" spans="3:7">
      <c r="C118" s="278"/>
      <c r="D118" s="278"/>
      <c r="E118" s="278"/>
      <c r="F118" s="278"/>
      <c r="G118" s="280"/>
    </row>
    <row r="119" spans="3:7">
      <c r="C119" s="278"/>
      <c r="D119" s="278"/>
      <c r="E119" s="278"/>
      <c r="F119" s="278"/>
      <c r="G119" s="280"/>
    </row>
    <row r="120" spans="3:7">
      <c r="C120" s="278"/>
      <c r="D120" s="278"/>
      <c r="E120" s="278"/>
      <c r="F120" s="278"/>
      <c r="G120" s="280"/>
    </row>
    <row r="121" spans="3:7">
      <c r="C121" s="278"/>
      <c r="D121" s="278"/>
      <c r="E121" s="278"/>
      <c r="F121" s="278"/>
      <c r="G121" s="280"/>
    </row>
    <row r="122" spans="3:7">
      <c r="C122" s="278"/>
      <c r="D122" s="278"/>
      <c r="E122" s="278"/>
      <c r="F122" s="278"/>
      <c r="G122" s="280"/>
    </row>
    <row r="123" spans="3:7">
      <c r="C123" s="278"/>
      <c r="D123" s="278"/>
      <c r="E123" s="278"/>
      <c r="F123" s="278"/>
      <c r="G123" s="280"/>
    </row>
    <row r="124" spans="3:7">
      <c r="C124" s="278"/>
      <c r="D124" s="278"/>
      <c r="E124" s="278"/>
      <c r="F124" s="278"/>
      <c r="G124" s="280"/>
    </row>
    <row r="125" spans="3:7">
      <c r="C125" s="278"/>
      <c r="D125" s="278"/>
      <c r="E125" s="278"/>
      <c r="F125" s="278"/>
      <c r="G125" s="280"/>
    </row>
    <row r="126" spans="3:7">
      <c r="C126" s="278"/>
      <c r="D126" s="278"/>
      <c r="E126" s="278"/>
      <c r="F126" s="278"/>
      <c r="G126" s="280"/>
    </row>
    <row r="127" spans="3:7">
      <c r="C127" s="278"/>
      <c r="D127" s="278"/>
      <c r="E127" s="278"/>
      <c r="F127" s="278"/>
      <c r="G127" s="280"/>
    </row>
    <row r="128" spans="3:7">
      <c r="C128" s="278"/>
      <c r="F128" s="278"/>
      <c r="G128" s="280"/>
    </row>
    <row r="129" spans="3:7">
      <c r="C129" s="278"/>
      <c r="F129" s="278"/>
      <c r="G129" s="280"/>
    </row>
    <row r="130" spans="3:7">
      <c r="C130" s="278"/>
      <c r="F130" s="278"/>
      <c r="G130" s="280"/>
    </row>
    <row r="131" spans="3:7">
      <c r="C131" s="278"/>
      <c r="F131" s="278"/>
      <c r="G131" s="280"/>
    </row>
    <row r="132" spans="3:7">
      <c r="C132" s="278"/>
      <c r="F132" s="278"/>
      <c r="G132" s="280"/>
    </row>
    <row r="133" spans="3:7">
      <c r="C133" s="278"/>
      <c r="F133" s="278"/>
      <c r="G133" s="280"/>
    </row>
    <row r="134" spans="3:7">
      <c r="C134" s="278"/>
      <c r="F134" s="278"/>
      <c r="G134" s="280"/>
    </row>
    <row r="135" spans="3:7">
      <c r="C135" s="278"/>
      <c r="F135" s="278"/>
      <c r="G135" s="280"/>
    </row>
    <row r="136" spans="3:7">
      <c r="C136" s="278"/>
      <c r="F136" s="278"/>
      <c r="G136" s="280"/>
    </row>
    <row r="137" spans="3:7">
      <c r="C137" s="278"/>
      <c r="F137" s="278"/>
      <c r="G137" s="280"/>
    </row>
    <row r="138" spans="3:7">
      <c r="C138" s="278"/>
      <c r="F138" s="278"/>
      <c r="G138" s="280"/>
    </row>
    <row r="139" spans="3:7">
      <c r="C139" s="278"/>
      <c r="F139" s="278"/>
      <c r="G139" s="280"/>
    </row>
    <row r="140" spans="3:7">
      <c r="C140" s="278"/>
      <c r="F140" s="278"/>
      <c r="G140" s="280"/>
    </row>
    <row r="141" spans="3:7">
      <c r="C141" s="278"/>
      <c r="F141" s="278"/>
      <c r="G141" s="280"/>
    </row>
    <row r="142" spans="3:7">
      <c r="C142" s="278"/>
      <c r="F142" s="278"/>
      <c r="G142" s="280"/>
    </row>
    <row r="143" spans="3:7">
      <c r="C143" s="278"/>
      <c r="F143" s="278"/>
      <c r="G143" s="280"/>
    </row>
    <row r="144" spans="3:7">
      <c r="C144" s="278"/>
      <c r="F144" s="278"/>
      <c r="G144" s="280"/>
    </row>
    <row r="145" spans="3:7">
      <c r="C145" s="278"/>
      <c r="F145" s="278"/>
      <c r="G145" s="280"/>
    </row>
    <row r="146" spans="3:7">
      <c r="C146" s="278"/>
      <c r="F146" s="278"/>
      <c r="G146" s="280"/>
    </row>
    <row r="147" spans="3:7">
      <c r="C147" s="278"/>
      <c r="F147" s="278"/>
      <c r="G147" s="280"/>
    </row>
    <row r="148" spans="3:7">
      <c r="C148" s="278"/>
      <c r="F148" s="278"/>
      <c r="G148" s="280"/>
    </row>
    <row r="149" spans="3:7">
      <c r="C149" s="278"/>
      <c r="F149" s="278"/>
      <c r="G149" s="280"/>
    </row>
    <row r="150" spans="3:7">
      <c r="C150" s="278"/>
      <c r="F150" s="278"/>
      <c r="G150" s="280"/>
    </row>
    <row r="151" spans="3:7">
      <c r="C151" s="278"/>
      <c r="F151" s="278"/>
      <c r="G151" s="280"/>
    </row>
    <row r="152" spans="3:7">
      <c r="C152" s="278"/>
      <c r="F152" s="278"/>
      <c r="G152" s="280"/>
    </row>
    <row r="153" spans="3:7">
      <c r="C153" s="278"/>
      <c r="F153" s="278"/>
      <c r="G153" s="280"/>
    </row>
    <row r="154" spans="3:7">
      <c r="C154" s="278"/>
      <c r="F154" s="278"/>
      <c r="G154" s="280"/>
    </row>
    <row r="155" spans="3:7">
      <c r="C155" s="278"/>
      <c r="F155" s="278"/>
      <c r="G155" s="280"/>
    </row>
    <row r="156" spans="3:7">
      <c r="C156" s="278"/>
      <c r="F156" s="278"/>
      <c r="G156" s="280"/>
    </row>
    <row r="157" spans="3:7">
      <c r="C157" s="278"/>
      <c r="F157" s="278"/>
      <c r="G157" s="280"/>
    </row>
    <row r="158" spans="3:7">
      <c r="C158" s="278"/>
      <c r="F158" s="278"/>
      <c r="G158" s="280"/>
    </row>
    <row r="159" spans="3:7">
      <c r="C159" s="278"/>
      <c r="F159" s="278"/>
      <c r="G159" s="280"/>
    </row>
    <row r="160" spans="3:7">
      <c r="C160" s="278"/>
      <c r="F160" s="278"/>
      <c r="G160" s="280"/>
    </row>
    <row r="161" spans="3:7">
      <c r="C161" s="278"/>
      <c r="F161" s="278"/>
      <c r="G161" s="280"/>
    </row>
    <row r="162" spans="3:7">
      <c r="C162" s="278"/>
      <c r="F162" s="278"/>
      <c r="G162" s="280"/>
    </row>
    <row r="163" spans="3:7">
      <c r="C163" s="278"/>
      <c r="F163" s="278"/>
      <c r="G163" s="280"/>
    </row>
    <row r="164" spans="3:7">
      <c r="C164" s="278"/>
      <c r="F164" s="278"/>
      <c r="G164" s="280"/>
    </row>
    <row r="165" spans="3:7">
      <c r="C165" s="278"/>
      <c r="F165" s="278"/>
      <c r="G165" s="280"/>
    </row>
    <row r="166" spans="3:7">
      <c r="C166" s="278"/>
      <c r="F166" s="278"/>
      <c r="G166" s="280"/>
    </row>
    <row r="167" spans="3:7">
      <c r="C167" s="278"/>
      <c r="F167" s="278"/>
      <c r="G167" s="280"/>
    </row>
    <row r="168" spans="3:7">
      <c r="C168" s="278"/>
      <c r="F168" s="278"/>
    </row>
    <row r="169" spans="3:7">
      <c r="C169" s="278"/>
      <c r="F169" s="278"/>
    </row>
    <row r="170" spans="3:7">
      <c r="C170" s="278"/>
      <c r="F170" s="278"/>
    </row>
    <row r="171" spans="3:7">
      <c r="C171" s="278"/>
      <c r="F171" s="278"/>
    </row>
    <row r="172" spans="3:7">
      <c r="C172" s="278"/>
      <c r="F172" s="278"/>
    </row>
    <row r="173" spans="3:7">
      <c r="C173" s="278"/>
      <c r="F173" s="278"/>
    </row>
    <row r="174" spans="3:7">
      <c r="C174" s="278"/>
      <c r="F174" s="278"/>
    </row>
    <row r="175" spans="3:7">
      <c r="C175" s="278"/>
      <c r="F175" s="278"/>
    </row>
    <row r="176" spans="3:7">
      <c r="C176" s="278"/>
      <c r="F176" s="278"/>
    </row>
    <row r="177" spans="3:6">
      <c r="C177" s="278"/>
      <c r="F177" s="278"/>
    </row>
    <row r="178" spans="3:6">
      <c r="C178" s="278"/>
      <c r="F178" s="278"/>
    </row>
    <row r="179" spans="3:6">
      <c r="C179" s="278"/>
      <c r="F179" s="278"/>
    </row>
    <row r="180" spans="3:6">
      <c r="C180" s="278"/>
      <c r="F180" s="278"/>
    </row>
    <row r="181" spans="3:6">
      <c r="C181" s="278"/>
      <c r="F181" s="278"/>
    </row>
    <row r="182" spans="3:6">
      <c r="C182" s="278"/>
      <c r="F182" s="278"/>
    </row>
    <row r="183" spans="3:6">
      <c r="C183" s="278"/>
      <c r="F183" s="278"/>
    </row>
    <row r="184" spans="3:6">
      <c r="C184" s="278"/>
      <c r="F184" s="278"/>
    </row>
    <row r="185" spans="3:6">
      <c r="C185" s="278"/>
      <c r="F185" s="278"/>
    </row>
    <row r="186" spans="3:6">
      <c r="C186" s="278"/>
      <c r="F186" s="278"/>
    </row>
    <row r="187" spans="3:6">
      <c r="C187" s="278"/>
      <c r="F187" s="278"/>
    </row>
    <row r="188" spans="3:6">
      <c r="C188" s="278"/>
      <c r="F188" s="278"/>
    </row>
    <row r="189" spans="3:6">
      <c r="C189" s="278"/>
      <c r="F189" s="278"/>
    </row>
    <row r="190" spans="3:6">
      <c r="C190" s="278"/>
      <c r="F190" s="278"/>
    </row>
    <row r="191" spans="3:6">
      <c r="C191" s="278"/>
      <c r="F191" s="278"/>
    </row>
    <row r="192" spans="3:6">
      <c r="C192" s="278"/>
      <c r="F192" s="278"/>
    </row>
    <row r="193" spans="3:6">
      <c r="C193" s="278"/>
      <c r="F193" s="278"/>
    </row>
    <row r="194" spans="3:6">
      <c r="C194" s="278"/>
      <c r="F194" s="278"/>
    </row>
    <row r="195" spans="3:6">
      <c r="C195" s="278"/>
      <c r="F195" s="278"/>
    </row>
    <row r="196" spans="3:6">
      <c r="C196" s="278"/>
      <c r="F196" s="278"/>
    </row>
    <row r="197" spans="3:6">
      <c r="C197" s="278"/>
      <c r="F197" s="278"/>
    </row>
    <row r="198" spans="3:6">
      <c r="C198" s="278"/>
      <c r="F198" s="278"/>
    </row>
    <row r="199" spans="3:6">
      <c r="C199" s="278"/>
      <c r="F199" s="278"/>
    </row>
    <row r="200" spans="3:6">
      <c r="C200" s="278"/>
      <c r="F200" s="278"/>
    </row>
    <row r="201" spans="3:6">
      <c r="C201" s="278"/>
      <c r="F201" s="278"/>
    </row>
    <row r="202" spans="3:6">
      <c r="C202" s="278"/>
      <c r="F202" s="278"/>
    </row>
    <row r="203" spans="3:6">
      <c r="C203" s="278"/>
      <c r="F203" s="278"/>
    </row>
    <row r="204" spans="3:6">
      <c r="C204" s="278"/>
      <c r="F204" s="278"/>
    </row>
    <row r="205" spans="3:6">
      <c r="C205" s="278"/>
      <c r="F205" s="278"/>
    </row>
    <row r="206" spans="3:6">
      <c r="C206" s="278"/>
      <c r="F206" s="278"/>
    </row>
    <row r="207" spans="3:6">
      <c r="C207" s="278"/>
      <c r="F207" s="278"/>
    </row>
    <row r="208" spans="3:6">
      <c r="C208" s="278"/>
      <c r="F208" s="278"/>
    </row>
    <row r="209" spans="3:6">
      <c r="C209" s="278"/>
      <c r="F209" s="278"/>
    </row>
    <row r="210" spans="3:6">
      <c r="C210" s="278"/>
      <c r="F210" s="278"/>
    </row>
    <row r="211" spans="3:6">
      <c r="C211" s="278"/>
      <c r="F211" s="278"/>
    </row>
    <row r="212" spans="3:6">
      <c r="C212" s="278"/>
      <c r="F212" s="278"/>
    </row>
    <row r="213" spans="3:6">
      <c r="C213" s="278"/>
      <c r="F213" s="278"/>
    </row>
    <row r="214" spans="3:6">
      <c r="C214" s="278"/>
      <c r="F214" s="278"/>
    </row>
    <row r="215" spans="3:6">
      <c r="C215" s="278"/>
      <c r="F215" s="278"/>
    </row>
    <row r="216" spans="3:6">
      <c r="C216" s="278"/>
      <c r="F216" s="278"/>
    </row>
    <row r="217" spans="3:6">
      <c r="C217" s="278"/>
      <c r="F217" s="278"/>
    </row>
    <row r="218" spans="3:6">
      <c r="C218" s="278"/>
      <c r="F218" s="278"/>
    </row>
    <row r="219" spans="3:6">
      <c r="C219" s="278"/>
      <c r="F219" s="278"/>
    </row>
    <row r="220" spans="3:6">
      <c r="C220" s="278"/>
      <c r="F220" s="278"/>
    </row>
    <row r="221" spans="3:6">
      <c r="C221" s="278"/>
      <c r="F221" s="278"/>
    </row>
    <row r="222" spans="3:6">
      <c r="C222" s="278"/>
      <c r="F222" s="278"/>
    </row>
    <row r="223" spans="3:6">
      <c r="C223" s="278"/>
      <c r="F223" s="278"/>
    </row>
    <row r="224" spans="3:6">
      <c r="C224" s="278"/>
      <c r="F224" s="278"/>
    </row>
    <row r="225" spans="3:6">
      <c r="C225" s="278"/>
      <c r="F225" s="278"/>
    </row>
    <row r="226" spans="3:6">
      <c r="C226" s="278"/>
      <c r="F226" s="278"/>
    </row>
    <row r="227" spans="3:6">
      <c r="C227" s="278"/>
      <c r="F227" s="278"/>
    </row>
    <row r="228" spans="3:6">
      <c r="C228" s="278"/>
      <c r="F228" s="278"/>
    </row>
    <row r="229" spans="3:6">
      <c r="C229" s="278"/>
      <c r="F229" s="278"/>
    </row>
    <row r="230" spans="3:6">
      <c r="C230" s="278"/>
      <c r="F230" s="278"/>
    </row>
    <row r="231" spans="3:6">
      <c r="C231" s="278"/>
      <c r="F231" s="278"/>
    </row>
    <row r="232" spans="3:6">
      <c r="C232" s="278"/>
      <c r="F232" s="278"/>
    </row>
    <row r="233" spans="3:6">
      <c r="C233" s="278"/>
      <c r="F233" s="278"/>
    </row>
    <row r="234" spans="3:6">
      <c r="C234" s="278"/>
      <c r="F234" s="278"/>
    </row>
    <row r="235" spans="3:6">
      <c r="C235" s="278"/>
      <c r="F235" s="278"/>
    </row>
    <row r="236" spans="3:6">
      <c r="C236" s="278"/>
      <c r="F236" s="278"/>
    </row>
    <row r="237" spans="3:6">
      <c r="C237" s="278"/>
      <c r="F237" s="278"/>
    </row>
    <row r="238" spans="3:6">
      <c r="C238" s="278"/>
      <c r="F238" s="278"/>
    </row>
    <row r="239" spans="3:6">
      <c r="C239" s="278"/>
      <c r="F239" s="278"/>
    </row>
    <row r="240" spans="3:6">
      <c r="C240" s="278"/>
      <c r="F240" s="278"/>
    </row>
    <row r="241" spans="3:6">
      <c r="C241" s="278"/>
      <c r="F241" s="278"/>
    </row>
    <row r="242" spans="3:6">
      <c r="C242" s="278"/>
      <c r="F242" s="278"/>
    </row>
    <row r="243" spans="3:6">
      <c r="C243" s="278"/>
      <c r="F243" s="278"/>
    </row>
    <row r="244" spans="3:6">
      <c r="C244" s="278"/>
      <c r="F244" s="278"/>
    </row>
    <row r="245" spans="3:6">
      <c r="C245" s="278"/>
      <c r="F245" s="278"/>
    </row>
    <row r="246" spans="3:6">
      <c r="C246" s="278"/>
      <c r="F246" s="278"/>
    </row>
    <row r="247" spans="3:6">
      <c r="C247" s="278"/>
      <c r="F247" s="278"/>
    </row>
    <row r="248" spans="3:6">
      <c r="C248" s="278"/>
      <c r="F248" s="278"/>
    </row>
    <row r="249" spans="3:6">
      <c r="C249" s="278"/>
      <c r="F249" s="278"/>
    </row>
    <row r="250" spans="3:6">
      <c r="C250" s="278"/>
      <c r="F250" s="278"/>
    </row>
    <row r="251" spans="3:6">
      <c r="C251" s="278"/>
      <c r="F251" s="278"/>
    </row>
    <row r="252" spans="3:6">
      <c r="C252" s="278"/>
      <c r="F252" s="278"/>
    </row>
    <row r="253" spans="3:6">
      <c r="C253" s="278"/>
      <c r="F253" s="278"/>
    </row>
    <row r="254" spans="3:6">
      <c r="C254" s="278"/>
      <c r="F254" s="278"/>
    </row>
    <row r="255" spans="3:6">
      <c r="C255" s="278"/>
      <c r="F255" s="278"/>
    </row>
    <row r="256" spans="3:6">
      <c r="C256" s="278"/>
      <c r="F256" s="278"/>
    </row>
    <row r="257" spans="3:6">
      <c r="C257" s="278"/>
      <c r="F257" s="278"/>
    </row>
    <row r="258" spans="3:6">
      <c r="C258" s="278"/>
      <c r="F258" s="278"/>
    </row>
    <row r="259" spans="3:6">
      <c r="C259" s="278"/>
      <c r="F259" s="278"/>
    </row>
    <row r="260" spans="3:6">
      <c r="C260" s="278"/>
      <c r="F260" s="278"/>
    </row>
    <row r="261" spans="3:6">
      <c r="C261" s="278"/>
      <c r="F261" s="278"/>
    </row>
    <row r="262" spans="3:6">
      <c r="C262" s="278"/>
      <c r="F262" s="278"/>
    </row>
    <row r="263" spans="3:6">
      <c r="C263" s="278"/>
      <c r="F263" s="278"/>
    </row>
    <row r="264" spans="3:6">
      <c r="C264" s="278"/>
      <c r="F264" s="278"/>
    </row>
    <row r="265" spans="3:6">
      <c r="C265" s="278"/>
      <c r="F265" s="278"/>
    </row>
    <row r="266" spans="3:6">
      <c r="C266" s="278"/>
      <c r="F266" s="278"/>
    </row>
    <row r="267" spans="3:6">
      <c r="C267" s="278"/>
      <c r="F267" s="278"/>
    </row>
    <row r="268" spans="3:6">
      <c r="C268" s="278"/>
      <c r="F268" s="278"/>
    </row>
    <row r="269" spans="3:6">
      <c r="C269" s="278"/>
      <c r="F269" s="278"/>
    </row>
    <row r="270" spans="3:6">
      <c r="C270" s="278"/>
      <c r="F270" s="278"/>
    </row>
    <row r="271" spans="3:6">
      <c r="C271" s="278"/>
      <c r="F271" s="278"/>
    </row>
    <row r="272" spans="3:6">
      <c r="C272" s="278"/>
      <c r="F272" s="278"/>
    </row>
    <row r="273" spans="3:6">
      <c r="C273" s="278"/>
      <c r="F273" s="278"/>
    </row>
    <row r="274" spans="3:6">
      <c r="C274" s="278"/>
      <c r="F274" s="278"/>
    </row>
    <row r="275" spans="3:6">
      <c r="C275" s="278"/>
      <c r="F275" s="278"/>
    </row>
    <row r="276" spans="3:6">
      <c r="C276" s="278"/>
      <c r="F276" s="278"/>
    </row>
    <row r="277" spans="3:6">
      <c r="C277" s="278"/>
      <c r="F277" s="278"/>
    </row>
    <row r="278" spans="3:6">
      <c r="C278" s="278"/>
      <c r="F278" s="278"/>
    </row>
    <row r="279" spans="3:6">
      <c r="C279" s="278"/>
      <c r="F279" s="278"/>
    </row>
    <row r="280" spans="3:6">
      <c r="C280" s="278"/>
      <c r="F280" s="278"/>
    </row>
    <row r="281" spans="3:6">
      <c r="C281" s="278"/>
      <c r="F281" s="278"/>
    </row>
    <row r="282" spans="3:6">
      <c r="C282" s="278"/>
      <c r="F282" s="278"/>
    </row>
    <row r="283" spans="3:6">
      <c r="C283" s="278"/>
      <c r="F283" s="278"/>
    </row>
    <row r="284" spans="3:6">
      <c r="C284" s="278"/>
    </row>
    <row r="285" spans="3:6">
      <c r="C285" s="278"/>
    </row>
    <row r="286" spans="3:6">
      <c r="C286" s="278"/>
    </row>
    <row r="287" spans="3:6">
      <c r="C287" s="278"/>
    </row>
    <row r="288" spans="3:6">
      <c r="C288" s="278"/>
    </row>
    <row r="289" spans="3:3">
      <c r="C289" s="278"/>
    </row>
    <row r="290" spans="3:3">
      <c r="C290" s="278"/>
    </row>
    <row r="291" spans="3:3">
      <c r="C291" s="278"/>
    </row>
    <row r="292" spans="3:3">
      <c r="C292" s="278"/>
    </row>
    <row r="293" spans="3:3">
      <c r="C293" s="278"/>
    </row>
    <row r="294" spans="3:3">
      <c r="C294" s="278"/>
    </row>
    <row r="295" spans="3:3">
      <c r="C295" s="278"/>
    </row>
    <row r="296" spans="3:3">
      <c r="C296" s="278"/>
    </row>
    <row r="297" spans="3:3">
      <c r="C297" s="278"/>
    </row>
    <row r="298" spans="3:3">
      <c r="C298" s="278"/>
    </row>
    <row r="299" spans="3:3">
      <c r="C299" s="278"/>
    </row>
    <row r="300" spans="3:3">
      <c r="C300" s="278"/>
    </row>
    <row r="301" spans="3:3">
      <c r="C301" s="278"/>
    </row>
    <row r="302" spans="3:3">
      <c r="C302" s="278"/>
    </row>
    <row r="303" spans="3:3">
      <c r="C303" s="278"/>
    </row>
    <row r="304" spans="3:3">
      <c r="C304" s="278"/>
    </row>
    <row r="305" spans="3:3">
      <c r="C305" s="278"/>
    </row>
    <row r="306" spans="3:3">
      <c r="C306" s="278"/>
    </row>
    <row r="307" spans="3:3">
      <c r="C307" s="278"/>
    </row>
    <row r="308" spans="3:3">
      <c r="C308" s="278"/>
    </row>
    <row r="309" spans="3:3">
      <c r="C309" s="278"/>
    </row>
    <row r="310" spans="3:3">
      <c r="C310" s="278"/>
    </row>
    <row r="311" spans="3:3">
      <c r="C311" s="278"/>
    </row>
    <row r="312" spans="3:3">
      <c r="C312" s="278"/>
    </row>
    <row r="313" spans="3:3">
      <c r="C313" s="278"/>
    </row>
    <row r="314" spans="3:3">
      <c r="C314" s="278"/>
    </row>
    <row r="315" spans="3:3">
      <c r="C315" s="278"/>
    </row>
    <row r="316" spans="3:3">
      <c r="C316" s="278"/>
    </row>
  </sheetData>
  <mergeCells count="10">
    <mergeCell ref="G4:G5"/>
    <mergeCell ref="A7:B7"/>
    <mergeCell ref="A9:B9"/>
    <mergeCell ref="A32:A37"/>
    <mergeCell ref="A52:A59"/>
    <mergeCell ref="B1:F1"/>
    <mergeCell ref="A4:A5"/>
    <mergeCell ref="B4:B5"/>
    <mergeCell ref="E4:E5"/>
    <mergeCell ref="F4:F5"/>
  </mergeCells>
  <pageMargins left="0" right="0" top="0" bottom="0"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2"/>
  <sheetViews>
    <sheetView view="pageBreakPreview" topLeftCell="A35" zoomScaleNormal="120" zoomScaleSheetLayoutView="100" workbookViewId="0">
      <selection activeCell="E219" sqref="E219"/>
    </sheetView>
  </sheetViews>
  <sheetFormatPr defaultColWidth="8.85546875" defaultRowHeight="15"/>
  <cols>
    <col min="1" max="1" width="5.85546875" style="311" customWidth="1"/>
    <col min="2" max="2" width="34.42578125" style="116" customWidth="1"/>
    <col min="3" max="3" width="9.140625" style="2" customWidth="1"/>
    <col min="4" max="4" width="8.85546875" style="117" customWidth="1"/>
    <col min="5" max="5" width="9.140625" style="4" bestFit="1" customWidth="1"/>
    <col min="6" max="6" width="9.140625" style="3" bestFit="1" customWidth="1"/>
    <col min="7" max="9" width="7.85546875" style="4" bestFit="1" customWidth="1"/>
    <col min="10" max="10" width="28.42578125" style="118" customWidth="1"/>
    <col min="11" max="11" width="17" style="119" customWidth="1"/>
    <col min="257" max="257" width="5.85546875" customWidth="1"/>
    <col min="258" max="258" width="34.42578125" customWidth="1"/>
    <col min="259" max="259" width="9.140625" customWidth="1"/>
    <col min="260" max="260" width="8.85546875" customWidth="1"/>
    <col min="261" max="262" width="9.140625" bestFit="1" customWidth="1"/>
    <col min="263" max="265" width="7.85546875" bestFit="1" customWidth="1"/>
    <col min="266" max="266" width="28.42578125" customWidth="1"/>
    <col min="267" max="267" width="17" customWidth="1"/>
    <col min="513" max="513" width="5.85546875" customWidth="1"/>
    <col min="514" max="514" width="34.42578125" customWidth="1"/>
    <col min="515" max="515" width="9.140625" customWidth="1"/>
    <col min="516" max="516" width="8.85546875" customWidth="1"/>
    <col min="517" max="518" width="9.140625" bestFit="1" customWidth="1"/>
    <col min="519" max="521" width="7.85546875" bestFit="1" customWidth="1"/>
    <col min="522" max="522" width="28.42578125" customWidth="1"/>
    <col min="523" max="523" width="17" customWidth="1"/>
    <col min="769" max="769" width="5.85546875" customWidth="1"/>
    <col min="770" max="770" width="34.42578125" customWidth="1"/>
    <col min="771" max="771" width="9.140625" customWidth="1"/>
    <col min="772" max="772" width="8.85546875" customWidth="1"/>
    <col min="773" max="774" width="9.140625" bestFit="1" customWidth="1"/>
    <col min="775" max="777" width="7.85546875" bestFit="1" customWidth="1"/>
    <col min="778" max="778" width="28.42578125" customWidth="1"/>
    <col min="779" max="779" width="17" customWidth="1"/>
    <col min="1025" max="1025" width="5.85546875" customWidth="1"/>
    <col min="1026" max="1026" width="34.42578125" customWidth="1"/>
    <col min="1027" max="1027" width="9.140625" customWidth="1"/>
    <col min="1028" max="1028" width="8.85546875" customWidth="1"/>
    <col min="1029" max="1030" width="9.140625" bestFit="1" customWidth="1"/>
    <col min="1031" max="1033" width="7.85546875" bestFit="1" customWidth="1"/>
    <col min="1034" max="1034" width="28.42578125" customWidth="1"/>
    <col min="1035" max="1035" width="17" customWidth="1"/>
    <col min="1281" max="1281" width="5.85546875" customWidth="1"/>
    <col min="1282" max="1282" width="34.42578125" customWidth="1"/>
    <col min="1283" max="1283" width="9.140625" customWidth="1"/>
    <col min="1284" max="1284" width="8.85546875" customWidth="1"/>
    <col min="1285" max="1286" width="9.140625" bestFit="1" customWidth="1"/>
    <col min="1287" max="1289" width="7.85546875" bestFit="1" customWidth="1"/>
    <col min="1290" max="1290" width="28.42578125" customWidth="1"/>
    <col min="1291" max="1291" width="17" customWidth="1"/>
    <col min="1537" max="1537" width="5.85546875" customWidth="1"/>
    <col min="1538" max="1538" width="34.42578125" customWidth="1"/>
    <col min="1539" max="1539" width="9.140625" customWidth="1"/>
    <col min="1540" max="1540" width="8.85546875" customWidth="1"/>
    <col min="1541" max="1542" width="9.140625" bestFit="1" customWidth="1"/>
    <col min="1543" max="1545" width="7.85546875" bestFit="1" customWidth="1"/>
    <col min="1546" max="1546" width="28.42578125" customWidth="1"/>
    <col min="1547" max="1547" width="17" customWidth="1"/>
    <col min="1793" max="1793" width="5.85546875" customWidth="1"/>
    <col min="1794" max="1794" width="34.42578125" customWidth="1"/>
    <col min="1795" max="1795" width="9.140625" customWidth="1"/>
    <col min="1796" max="1796" width="8.85546875" customWidth="1"/>
    <col min="1797" max="1798" width="9.140625" bestFit="1" customWidth="1"/>
    <col min="1799" max="1801" width="7.85546875" bestFit="1" customWidth="1"/>
    <col min="1802" max="1802" width="28.42578125" customWidth="1"/>
    <col min="1803" max="1803" width="17" customWidth="1"/>
    <col min="2049" max="2049" width="5.85546875" customWidth="1"/>
    <col min="2050" max="2050" width="34.42578125" customWidth="1"/>
    <col min="2051" max="2051" width="9.140625" customWidth="1"/>
    <col min="2052" max="2052" width="8.85546875" customWidth="1"/>
    <col min="2053" max="2054" width="9.140625" bestFit="1" customWidth="1"/>
    <col min="2055" max="2057" width="7.85546875" bestFit="1" customWidth="1"/>
    <col min="2058" max="2058" width="28.42578125" customWidth="1"/>
    <col min="2059" max="2059" width="17" customWidth="1"/>
    <col min="2305" max="2305" width="5.85546875" customWidth="1"/>
    <col min="2306" max="2306" width="34.42578125" customWidth="1"/>
    <col min="2307" max="2307" width="9.140625" customWidth="1"/>
    <col min="2308" max="2308" width="8.85546875" customWidth="1"/>
    <col min="2309" max="2310" width="9.140625" bestFit="1" customWidth="1"/>
    <col min="2311" max="2313" width="7.85546875" bestFit="1" customWidth="1"/>
    <col min="2314" max="2314" width="28.42578125" customWidth="1"/>
    <col min="2315" max="2315" width="17" customWidth="1"/>
    <col min="2561" max="2561" width="5.85546875" customWidth="1"/>
    <col min="2562" max="2562" width="34.42578125" customWidth="1"/>
    <col min="2563" max="2563" width="9.140625" customWidth="1"/>
    <col min="2564" max="2564" width="8.85546875" customWidth="1"/>
    <col min="2565" max="2566" width="9.140625" bestFit="1" customWidth="1"/>
    <col min="2567" max="2569" width="7.85546875" bestFit="1" customWidth="1"/>
    <col min="2570" max="2570" width="28.42578125" customWidth="1"/>
    <col min="2571" max="2571" width="17" customWidth="1"/>
    <col min="2817" max="2817" width="5.85546875" customWidth="1"/>
    <col min="2818" max="2818" width="34.42578125" customWidth="1"/>
    <col min="2819" max="2819" width="9.140625" customWidth="1"/>
    <col min="2820" max="2820" width="8.85546875" customWidth="1"/>
    <col min="2821" max="2822" width="9.140625" bestFit="1" customWidth="1"/>
    <col min="2823" max="2825" width="7.85546875" bestFit="1" customWidth="1"/>
    <col min="2826" max="2826" width="28.42578125" customWidth="1"/>
    <col min="2827" max="2827" width="17" customWidth="1"/>
    <col min="3073" max="3073" width="5.85546875" customWidth="1"/>
    <col min="3074" max="3074" width="34.42578125" customWidth="1"/>
    <col min="3075" max="3075" width="9.140625" customWidth="1"/>
    <col min="3076" max="3076" width="8.85546875" customWidth="1"/>
    <col min="3077" max="3078" width="9.140625" bestFit="1" customWidth="1"/>
    <col min="3079" max="3081" width="7.85546875" bestFit="1" customWidth="1"/>
    <col min="3082" max="3082" width="28.42578125" customWidth="1"/>
    <col min="3083" max="3083" width="17" customWidth="1"/>
    <col min="3329" max="3329" width="5.85546875" customWidth="1"/>
    <col min="3330" max="3330" width="34.42578125" customWidth="1"/>
    <col min="3331" max="3331" width="9.140625" customWidth="1"/>
    <col min="3332" max="3332" width="8.85546875" customWidth="1"/>
    <col min="3333" max="3334" width="9.140625" bestFit="1" customWidth="1"/>
    <col min="3335" max="3337" width="7.85546875" bestFit="1" customWidth="1"/>
    <col min="3338" max="3338" width="28.42578125" customWidth="1"/>
    <col min="3339" max="3339" width="17" customWidth="1"/>
    <col min="3585" max="3585" width="5.85546875" customWidth="1"/>
    <col min="3586" max="3586" width="34.42578125" customWidth="1"/>
    <col min="3587" max="3587" width="9.140625" customWidth="1"/>
    <col min="3588" max="3588" width="8.85546875" customWidth="1"/>
    <col min="3589" max="3590" width="9.140625" bestFit="1" customWidth="1"/>
    <col min="3591" max="3593" width="7.85546875" bestFit="1" customWidth="1"/>
    <col min="3594" max="3594" width="28.42578125" customWidth="1"/>
    <col min="3595" max="3595" width="17" customWidth="1"/>
    <col min="3841" max="3841" width="5.85546875" customWidth="1"/>
    <col min="3842" max="3842" width="34.42578125" customWidth="1"/>
    <col min="3843" max="3843" width="9.140625" customWidth="1"/>
    <col min="3844" max="3844" width="8.85546875" customWidth="1"/>
    <col min="3845" max="3846" width="9.140625" bestFit="1" customWidth="1"/>
    <col min="3847" max="3849" width="7.85546875" bestFit="1" customWidth="1"/>
    <col min="3850" max="3850" width="28.42578125" customWidth="1"/>
    <col min="3851" max="3851" width="17" customWidth="1"/>
    <col min="4097" max="4097" width="5.85546875" customWidth="1"/>
    <col min="4098" max="4098" width="34.42578125" customWidth="1"/>
    <col min="4099" max="4099" width="9.140625" customWidth="1"/>
    <col min="4100" max="4100" width="8.85546875" customWidth="1"/>
    <col min="4101" max="4102" width="9.140625" bestFit="1" customWidth="1"/>
    <col min="4103" max="4105" width="7.85546875" bestFit="1" customWidth="1"/>
    <col min="4106" max="4106" width="28.42578125" customWidth="1"/>
    <col min="4107" max="4107" width="17" customWidth="1"/>
    <col min="4353" max="4353" width="5.85546875" customWidth="1"/>
    <col min="4354" max="4354" width="34.42578125" customWidth="1"/>
    <col min="4355" max="4355" width="9.140625" customWidth="1"/>
    <col min="4356" max="4356" width="8.85546875" customWidth="1"/>
    <col min="4357" max="4358" width="9.140625" bestFit="1" customWidth="1"/>
    <col min="4359" max="4361" width="7.85546875" bestFit="1" customWidth="1"/>
    <col min="4362" max="4362" width="28.42578125" customWidth="1"/>
    <col min="4363" max="4363" width="17" customWidth="1"/>
    <col min="4609" max="4609" width="5.85546875" customWidth="1"/>
    <col min="4610" max="4610" width="34.42578125" customWidth="1"/>
    <col min="4611" max="4611" width="9.140625" customWidth="1"/>
    <col min="4612" max="4612" width="8.85546875" customWidth="1"/>
    <col min="4613" max="4614" width="9.140625" bestFit="1" customWidth="1"/>
    <col min="4615" max="4617" width="7.85546875" bestFit="1" customWidth="1"/>
    <col min="4618" max="4618" width="28.42578125" customWidth="1"/>
    <col min="4619" max="4619" width="17" customWidth="1"/>
    <col min="4865" max="4865" width="5.85546875" customWidth="1"/>
    <col min="4866" max="4866" width="34.42578125" customWidth="1"/>
    <col min="4867" max="4867" width="9.140625" customWidth="1"/>
    <col min="4868" max="4868" width="8.85546875" customWidth="1"/>
    <col min="4869" max="4870" width="9.140625" bestFit="1" customWidth="1"/>
    <col min="4871" max="4873" width="7.85546875" bestFit="1" customWidth="1"/>
    <col min="4874" max="4874" width="28.42578125" customWidth="1"/>
    <col min="4875" max="4875" width="17" customWidth="1"/>
    <col min="5121" max="5121" width="5.85546875" customWidth="1"/>
    <col min="5122" max="5122" width="34.42578125" customWidth="1"/>
    <col min="5123" max="5123" width="9.140625" customWidth="1"/>
    <col min="5124" max="5124" width="8.85546875" customWidth="1"/>
    <col min="5125" max="5126" width="9.140625" bestFit="1" customWidth="1"/>
    <col min="5127" max="5129" width="7.85546875" bestFit="1" customWidth="1"/>
    <col min="5130" max="5130" width="28.42578125" customWidth="1"/>
    <col min="5131" max="5131" width="17" customWidth="1"/>
    <col min="5377" max="5377" width="5.85546875" customWidth="1"/>
    <col min="5378" max="5378" width="34.42578125" customWidth="1"/>
    <col min="5379" max="5379" width="9.140625" customWidth="1"/>
    <col min="5380" max="5380" width="8.85546875" customWidth="1"/>
    <col min="5381" max="5382" width="9.140625" bestFit="1" customWidth="1"/>
    <col min="5383" max="5385" width="7.85546875" bestFit="1" customWidth="1"/>
    <col min="5386" max="5386" width="28.42578125" customWidth="1"/>
    <col min="5387" max="5387" width="17" customWidth="1"/>
    <col min="5633" max="5633" width="5.85546875" customWidth="1"/>
    <col min="5634" max="5634" width="34.42578125" customWidth="1"/>
    <col min="5635" max="5635" width="9.140625" customWidth="1"/>
    <col min="5636" max="5636" width="8.85546875" customWidth="1"/>
    <col min="5637" max="5638" width="9.140625" bestFit="1" customWidth="1"/>
    <col min="5639" max="5641" width="7.85546875" bestFit="1" customWidth="1"/>
    <col min="5642" max="5642" width="28.42578125" customWidth="1"/>
    <col min="5643" max="5643" width="17" customWidth="1"/>
    <col min="5889" max="5889" width="5.85546875" customWidth="1"/>
    <col min="5890" max="5890" width="34.42578125" customWidth="1"/>
    <col min="5891" max="5891" width="9.140625" customWidth="1"/>
    <col min="5892" max="5892" width="8.85546875" customWidth="1"/>
    <col min="5893" max="5894" width="9.140625" bestFit="1" customWidth="1"/>
    <col min="5895" max="5897" width="7.85546875" bestFit="1" customWidth="1"/>
    <col min="5898" max="5898" width="28.42578125" customWidth="1"/>
    <col min="5899" max="5899" width="17" customWidth="1"/>
    <col min="6145" max="6145" width="5.85546875" customWidth="1"/>
    <col min="6146" max="6146" width="34.42578125" customWidth="1"/>
    <col min="6147" max="6147" width="9.140625" customWidth="1"/>
    <col min="6148" max="6148" width="8.85546875" customWidth="1"/>
    <col min="6149" max="6150" width="9.140625" bestFit="1" customWidth="1"/>
    <col min="6151" max="6153" width="7.85546875" bestFit="1" customWidth="1"/>
    <col min="6154" max="6154" width="28.42578125" customWidth="1"/>
    <col min="6155" max="6155" width="17" customWidth="1"/>
    <col min="6401" max="6401" width="5.85546875" customWidth="1"/>
    <col min="6402" max="6402" width="34.42578125" customWidth="1"/>
    <col min="6403" max="6403" width="9.140625" customWidth="1"/>
    <col min="6404" max="6404" width="8.85546875" customWidth="1"/>
    <col min="6405" max="6406" width="9.140625" bestFit="1" customWidth="1"/>
    <col min="6407" max="6409" width="7.85546875" bestFit="1" customWidth="1"/>
    <col min="6410" max="6410" width="28.42578125" customWidth="1"/>
    <col min="6411" max="6411" width="17" customWidth="1"/>
    <col min="6657" max="6657" width="5.85546875" customWidth="1"/>
    <col min="6658" max="6658" width="34.42578125" customWidth="1"/>
    <col min="6659" max="6659" width="9.140625" customWidth="1"/>
    <col min="6660" max="6660" width="8.85546875" customWidth="1"/>
    <col min="6661" max="6662" width="9.140625" bestFit="1" customWidth="1"/>
    <col min="6663" max="6665" width="7.85546875" bestFit="1" customWidth="1"/>
    <col min="6666" max="6666" width="28.42578125" customWidth="1"/>
    <col min="6667" max="6667" width="17" customWidth="1"/>
    <col min="6913" max="6913" width="5.85546875" customWidth="1"/>
    <col min="6914" max="6914" width="34.42578125" customWidth="1"/>
    <col min="6915" max="6915" width="9.140625" customWidth="1"/>
    <col min="6916" max="6916" width="8.85546875" customWidth="1"/>
    <col min="6917" max="6918" width="9.140625" bestFit="1" customWidth="1"/>
    <col min="6919" max="6921" width="7.85546875" bestFit="1" customWidth="1"/>
    <col min="6922" max="6922" width="28.42578125" customWidth="1"/>
    <col min="6923" max="6923" width="17" customWidth="1"/>
    <col min="7169" max="7169" width="5.85546875" customWidth="1"/>
    <col min="7170" max="7170" width="34.42578125" customWidth="1"/>
    <col min="7171" max="7171" width="9.140625" customWidth="1"/>
    <col min="7172" max="7172" width="8.85546875" customWidth="1"/>
    <col min="7173" max="7174" width="9.140625" bestFit="1" customWidth="1"/>
    <col min="7175" max="7177" width="7.85546875" bestFit="1" customWidth="1"/>
    <col min="7178" max="7178" width="28.42578125" customWidth="1"/>
    <col min="7179" max="7179" width="17" customWidth="1"/>
    <col min="7425" max="7425" width="5.85546875" customWidth="1"/>
    <col min="7426" max="7426" width="34.42578125" customWidth="1"/>
    <col min="7427" max="7427" width="9.140625" customWidth="1"/>
    <col min="7428" max="7428" width="8.85546875" customWidth="1"/>
    <col min="7429" max="7430" width="9.140625" bestFit="1" customWidth="1"/>
    <col min="7431" max="7433" width="7.85546875" bestFit="1" customWidth="1"/>
    <col min="7434" max="7434" width="28.42578125" customWidth="1"/>
    <col min="7435" max="7435" width="17" customWidth="1"/>
    <col min="7681" max="7681" width="5.85546875" customWidth="1"/>
    <col min="7682" max="7682" width="34.42578125" customWidth="1"/>
    <col min="7683" max="7683" width="9.140625" customWidth="1"/>
    <col min="7684" max="7684" width="8.85546875" customWidth="1"/>
    <col min="7685" max="7686" width="9.140625" bestFit="1" customWidth="1"/>
    <col min="7687" max="7689" width="7.85546875" bestFit="1" customWidth="1"/>
    <col min="7690" max="7690" width="28.42578125" customWidth="1"/>
    <col min="7691" max="7691" width="17" customWidth="1"/>
    <col min="7937" max="7937" width="5.85546875" customWidth="1"/>
    <col min="7938" max="7938" width="34.42578125" customWidth="1"/>
    <col min="7939" max="7939" width="9.140625" customWidth="1"/>
    <col min="7940" max="7940" width="8.85546875" customWidth="1"/>
    <col min="7941" max="7942" width="9.140625" bestFit="1" customWidth="1"/>
    <col min="7943" max="7945" width="7.85546875" bestFit="1" customWidth="1"/>
    <col min="7946" max="7946" width="28.42578125" customWidth="1"/>
    <col min="7947" max="7947" width="17" customWidth="1"/>
    <col min="8193" max="8193" width="5.85546875" customWidth="1"/>
    <col min="8194" max="8194" width="34.42578125" customWidth="1"/>
    <col min="8195" max="8195" width="9.140625" customWidth="1"/>
    <col min="8196" max="8196" width="8.85546875" customWidth="1"/>
    <col min="8197" max="8198" width="9.140625" bestFit="1" customWidth="1"/>
    <col min="8199" max="8201" width="7.85546875" bestFit="1" customWidth="1"/>
    <col min="8202" max="8202" width="28.42578125" customWidth="1"/>
    <col min="8203" max="8203" width="17" customWidth="1"/>
    <col min="8449" max="8449" width="5.85546875" customWidth="1"/>
    <col min="8450" max="8450" width="34.42578125" customWidth="1"/>
    <col min="8451" max="8451" width="9.140625" customWidth="1"/>
    <col min="8452" max="8452" width="8.85546875" customWidth="1"/>
    <col min="8453" max="8454" width="9.140625" bestFit="1" customWidth="1"/>
    <col min="8455" max="8457" width="7.85546875" bestFit="1" customWidth="1"/>
    <col min="8458" max="8458" width="28.42578125" customWidth="1"/>
    <col min="8459" max="8459" width="17" customWidth="1"/>
    <col min="8705" max="8705" width="5.85546875" customWidth="1"/>
    <col min="8706" max="8706" width="34.42578125" customWidth="1"/>
    <col min="8707" max="8707" width="9.140625" customWidth="1"/>
    <col min="8708" max="8708" width="8.85546875" customWidth="1"/>
    <col min="8709" max="8710" width="9.140625" bestFit="1" customWidth="1"/>
    <col min="8711" max="8713" width="7.85546875" bestFit="1" customWidth="1"/>
    <col min="8714" max="8714" width="28.42578125" customWidth="1"/>
    <col min="8715" max="8715" width="17" customWidth="1"/>
    <col min="8961" max="8961" width="5.85546875" customWidth="1"/>
    <col min="8962" max="8962" width="34.42578125" customWidth="1"/>
    <col min="8963" max="8963" width="9.140625" customWidth="1"/>
    <col min="8964" max="8964" width="8.85546875" customWidth="1"/>
    <col min="8965" max="8966" width="9.140625" bestFit="1" customWidth="1"/>
    <col min="8967" max="8969" width="7.85546875" bestFit="1" customWidth="1"/>
    <col min="8970" max="8970" width="28.42578125" customWidth="1"/>
    <col min="8971" max="8971" width="17" customWidth="1"/>
    <col min="9217" max="9217" width="5.85546875" customWidth="1"/>
    <col min="9218" max="9218" width="34.42578125" customWidth="1"/>
    <col min="9219" max="9219" width="9.140625" customWidth="1"/>
    <col min="9220" max="9220" width="8.85546875" customWidth="1"/>
    <col min="9221" max="9222" width="9.140625" bestFit="1" customWidth="1"/>
    <col min="9223" max="9225" width="7.85546875" bestFit="1" customWidth="1"/>
    <col min="9226" max="9226" width="28.42578125" customWidth="1"/>
    <col min="9227" max="9227" width="17" customWidth="1"/>
    <col min="9473" max="9473" width="5.85546875" customWidth="1"/>
    <col min="9474" max="9474" width="34.42578125" customWidth="1"/>
    <col min="9475" max="9475" width="9.140625" customWidth="1"/>
    <col min="9476" max="9476" width="8.85546875" customWidth="1"/>
    <col min="9477" max="9478" width="9.140625" bestFit="1" customWidth="1"/>
    <col min="9479" max="9481" width="7.85546875" bestFit="1" customWidth="1"/>
    <col min="9482" max="9482" width="28.42578125" customWidth="1"/>
    <col min="9483" max="9483" width="17" customWidth="1"/>
    <col min="9729" max="9729" width="5.85546875" customWidth="1"/>
    <col min="9730" max="9730" width="34.42578125" customWidth="1"/>
    <col min="9731" max="9731" width="9.140625" customWidth="1"/>
    <col min="9732" max="9732" width="8.85546875" customWidth="1"/>
    <col min="9733" max="9734" width="9.140625" bestFit="1" customWidth="1"/>
    <col min="9735" max="9737" width="7.85546875" bestFit="1" customWidth="1"/>
    <col min="9738" max="9738" width="28.42578125" customWidth="1"/>
    <col min="9739" max="9739" width="17" customWidth="1"/>
    <col min="9985" max="9985" width="5.85546875" customWidth="1"/>
    <col min="9986" max="9986" width="34.42578125" customWidth="1"/>
    <col min="9987" max="9987" width="9.140625" customWidth="1"/>
    <col min="9988" max="9988" width="8.85546875" customWidth="1"/>
    <col min="9989" max="9990" width="9.140625" bestFit="1" customWidth="1"/>
    <col min="9991" max="9993" width="7.85546875" bestFit="1" customWidth="1"/>
    <col min="9994" max="9994" width="28.42578125" customWidth="1"/>
    <col min="9995" max="9995" width="17" customWidth="1"/>
    <col min="10241" max="10241" width="5.85546875" customWidth="1"/>
    <col min="10242" max="10242" width="34.42578125" customWidth="1"/>
    <col min="10243" max="10243" width="9.140625" customWidth="1"/>
    <col min="10244" max="10244" width="8.85546875" customWidth="1"/>
    <col min="10245" max="10246" width="9.140625" bestFit="1" customWidth="1"/>
    <col min="10247" max="10249" width="7.85546875" bestFit="1" customWidth="1"/>
    <col min="10250" max="10250" width="28.42578125" customWidth="1"/>
    <col min="10251" max="10251" width="17" customWidth="1"/>
    <col min="10497" max="10497" width="5.85546875" customWidth="1"/>
    <col min="10498" max="10498" width="34.42578125" customWidth="1"/>
    <col min="10499" max="10499" width="9.140625" customWidth="1"/>
    <col min="10500" max="10500" width="8.85546875" customWidth="1"/>
    <col min="10501" max="10502" width="9.140625" bestFit="1" customWidth="1"/>
    <col min="10503" max="10505" width="7.85546875" bestFit="1" customWidth="1"/>
    <col min="10506" max="10506" width="28.42578125" customWidth="1"/>
    <col min="10507" max="10507" width="17" customWidth="1"/>
    <col min="10753" max="10753" width="5.85546875" customWidth="1"/>
    <col min="10754" max="10754" width="34.42578125" customWidth="1"/>
    <col min="10755" max="10755" width="9.140625" customWidth="1"/>
    <col min="10756" max="10756" width="8.85546875" customWidth="1"/>
    <col min="10757" max="10758" width="9.140625" bestFit="1" customWidth="1"/>
    <col min="10759" max="10761" width="7.85546875" bestFit="1" customWidth="1"/>
    <col min="10762" max="10762" width="28.42578125" customWidth="1"/>
    <col min="10763" max="10763" width="17" customWidth="1"/>
    <col min="11009" max="11009" width="5.85546875" customWidth="1"/>
    <col min="11010" max="11010" width="34.42578125" customWidth="1"/>
    <col min="11011" max="11011" width="9.140625" customWidth="1"/>
    <col min="11012" max="11012" width="8.85546875" customWidth="1"/>
    <col min="11013" max="11014" width="9.140625" bestFit="1" customWidth="1"/>
    <col min="11015" max="11017" width="7.85546875" bestFit="1" customWidth="1"/>
    <col min="11018" max="11018" width="28.42578125" customWidth="1"/>
    <col min="11019" max="11019" width="17" customWidth="1"/>
    <col min="11265" max="11265" width="5.85546875" customWidth="1"/>
    <col min="11266" max="11266" width="34.42578125" customWidth="1"/>
    <col min="11267" max="11267" width="9.140625" customWidth="1"/>
    <col min="11268" max="11268" width="8.85546875" customWidth="1"/>
    <col min="11269" max="11270" width="9.140625" bestFit="1" customWidth="1"/>
    <col min="11271" max="11273" width="7.85546875" bestFit="1" customWidth="1"/>
    <col min="11274" max="11274" width="28.42578125" customWidth="1"/>
    <col min="11275" max="11275" width="17" customWidth="1"/>
    <col min="11521" max="11521" width="5.85546875" customWidth="1"/>
    <col min="11522" max="11522" width="34.42578125" customWidth="1"/>
    <col min="11523" max="11523" width="9.140625" customWidth="1"/>
    <col min="11524" max="11524" width="8.85546875" customWidth="1"/>
    <col min="11525" max="11526" width="9.140625" bestFit="1" customWidth="1"/>
    <col min="11527" max="11529" width="7.85546875" bestFit="1" customWidth="1"/>
    <col min="11530" max="11530" width="28.42578125" customWidth="1"/>
    <col min="11531" max="11531" width="17" customWidth="1"/>
    <col min="11777" max="11777" width="5.85546875" customWidth="1"/>
    <col min="11778" max="11778" width="34.42578125" customWidth="1"/>
    <col min="11779" max="11779" width="9.140625" customWidth="1"/>
    <col min="11780" max="11780" width="8.85546875" customWidth="1"/>
    <col min="11781" max="11782" width="9.140625" bestFit="1" customWidth="1"/>
    <col min="11783" max="11785" width="7.85546875" bestFit="1" customWidth="1"/>
    <col min="11786" max="11786" width="28.42578125" customWidth="1"/>
    <col min="11787" max="11787" width="17" customWidth="1"/>
    <col min="12033" max="12033" width="5.85546875" customWidth="1"/>
    <col min="12034" max="12034" width="34.42578125" customWidth="1"/>
    <col min="12035" max="12035" width="9.140625" customWidth="1"/>
    <col min="12036" max="12036" width="8.85546875" customWidth="1"/>
    <col min="12037" max="12038" width="9.140625" bestFit="1" customWidth="1"/>
    <col min="12039" max="12041" width="7.85546875" bestFit="1" customWidth="1"/>
    <col min="12042" max="12042" width="28.42578125" customWidth="1"/>
    <col min="12043" max="12043" width="17" customWidth="1"/>
    <col min="12289" max="12289" width="5.85546875" customWidth="1"/>
    <col min="12290" max="12290" width="34.42578125" customWidth="1"/>
    <col min="12291" max="12291" width="9.140625" customWidth="1"/>
    <col min="12292" max="12292" width="8.85546875" customWidth="1"/>
    <col min="12293" max="12294" width="9.140625" bestFit="1" customWidth="1"/>
    <col min="12295" max="12297" width="7.85546875" bestFit="1" customWidth="1"/>
    <col min="12298" max="12298" width="28.42578125" customWidth="1"/>
    <col min="12299" max="12299" width="17" customWidth="1"/>
    <col min="12545" max="12545" width="5.85546875" customWidth="1"/>
    <col min="12546" max="12546" width="34.42578125" customWidth="1"/>
    <col min="12547" max="12547" width="9.140625" customWidth="1"/>
    <col min="12548" max="12548" width="8.85546875" customWidth="1"/>
    <col min="12549" max="12550" width="9.140625" bestFit="1" customWidth="1"/>
    <col min="12551" max="12553" width="7.85546875" bestFit="1" customWidth="1"/>
    <col min="12554" max="12554" width="28.42578125" customWidth="1"/>
    <col min="12555" max="12555" width="17" customWidth="1"/>
    <col min="12801" max="12801" width="5.85546875" customWidth="1"/>
    <col min="12802" max="12802" width="34.42578125" customWidth="1"/>
    <col min="12803" max="12803" width="9.140625" customWidth="1"/>
    <col min="12804" max="12804" width="8.85546875" customWidth="1"/>
    <col min="12805" max="12806" width="9.140625" bestFit="1" customWidth="1"/>
    <col min="12807" max="12809" width="7.85546875" bestFit="1" customWidth="1"/>
    <col min="12810" max="12810" width="28.42578125" customWidth="1"/>
    <col min="12811" max="12811" width="17" customWidth="1"/>
    <col min="13057" max="13057" width="5.85546875" customWidth="1"/>
    <col min="13058" max="13058" width="34.42578125" customWidth="1"/>
    <col min="13059" max="13059" width="9.140625" customWidth="1"/>
    <col min="13060" max="13060" width="8.85546875" customWidth="1"/>
    <col min="13061" max="13062" width="9.140625" bestFit="1" customWidth="1"/>
    <col min="13063" max="13065" width="7.85546875" bestFit="1" customWidth="1"/>
    <col min="13066" max="13066" width="28.42578125" customWidth="1"/>
    <col min="13067" max="13067" width="17" customWidth="1"/>
    <col min="13313" max="13313" width="5.85546875" customWidth="1"/>
    <col min="13314" max="13314" width="34.42578125" customWidth="1"/>
    <col min="13315" max="13315" width="9.140625" customWidth="1"/>
    <col min="13316" max="13316" width="8.85546875" customWidth="1"/>
    <col min="13317" max="13318" width="9.140625" bestFit="1" customWidth="1"/>
    <col min="13319" max="13321" width="7.85546875" bestFit="1" customWidth="1"/>
    <col min="13322" max="13322" width="28.42578125" customWidth="1"/>
    <col min="13323" max="13323" width="17" customWidth="1"/>
    <col min="13569" max="13569" width="5.85546875" customWidth="1"/>
    <col min="13570" max="13570" width="34.42578125" customWidth="1"/>
    <col min="13571" max="13571" width="9.140625" customWidth="1"/>
    <col min="13572" max="13572" width="8.85546875" customWidth="1"/>
    <col min="13573" max="13574" width="9.140625" bestFit="1" customWidth="1"/>
    <col min="13575" max="13577" width="7.85546875" bestFit="1" customWidth="1"/>
    <col min="13578" max="13578" width="28.42578125" customWidth="1"/>
    <col min="13579" max="13579" width="17" customWidth="1"/>
    <col min="13825" max="13825" width="5.85546875" customWidth="1"/>
    <col min="13826" max="13826" width="34.42578125" customWidth="1"/>
    <col min="13827" max="13827" width="9.140625" customWidth="1"/>
    <col min="13828" max="13828" width="8.85546875" customWidth="1"/>
    <col min="13829" max="13830" width="9.140625" bestFit="1" customWidth="1"/>
    <col min="13831" max="13833" width="7.85546875" bestFit="1" customWidth="1"/>
    <col min="13834" max="13834" width="28.42578125" customWidth="1"/>
    <col min="13835" max="13835" width="17" customWidth="1"/>
    <col min="14081" max="14081" width="5.85546875" customWidth="1"/>
    <col min="14082" max="14082" width="34.42578125" customWidth="1"/>
    <col min="14083" max="14083" width="9.140625" customWidth="1"/>
    <col min="14084" max="14084" width="8.85546875" customWidth="1"/>
    <col min="14085" max="14086" width="9.140625" bestFit="1" customWidth="1"/>
    <col min="14087" max="14089" width="7.85546875" bestFit="1" customWidth="1"/>
    <col min="14090" max="14090" width="28.42578125" customWidth="1"/>
    <col min="14091" max="14091" width="17" customWidth="1"/>
    <col min="14337" max="14337" width="5.85546875" customWidth="1"/>
    <col min="14338" max="14338" width="34.42578125" customWidth="1"/>
    <col min="14339" max="14339" width="9.140625" customWidth="1"/>
    <col min="14340" max="14340" width="8.85546875" customWidth="1"/>
    <col min="14341" max="14342" width="9.140625" bestFit="1" customWidth="1"/>
    <col min="14343" max="14345" width="7.85546875" bestFit="1" customWidth="1"/>
    <col min="14346" max="14346" width="28.42578125" customWidth="1"/>
    <col min="14347" max="14347" width="17" customWidth="1"/>
    <col min="14593" max="14593" width="5.85546875" customWidth="1"/>
    <col min="14594" max="14594" width="34.42578125" customWidth="1"/>
    <col min="14595" max="14595" width="9.140625" customWidth="1"/>
    <col min="14596" max="14596" width="8.85546875" customWidth="1"/>
    <col min="14597" max="14598" width="9.140625" bestFit="1" customWidth="1"/>
    <col min="14599" max="14601" width="7.85546875" bestFit="1" customWidth="1"/>
    <col min="14602" max="14602" width="28.42578125" customWidth="1"/>
    <col min="14603" max="14603" width="17" customWidth="1"/>
    <col min="14849" max="14849" width="5.85546875" customWidth="1"/>
    <col min="14850" max="14850" width="34.42578125" customWidth="1"/>
    <col min="14851" max="14851" width="9.140625" customWidth="1"/>
    <col min="14852" max="14852" width="8.85546875" customWidth="1"/>
    <col min="14853" max="14854" width="9.140625" bestFit="1" customWidth="1"/>
    <col min="14855" max="14857" width="7.85546875" bestFit="1" customWidth="1"/>
    <col min="14858" max="14858" width="28.42578125" customWidth="1"/>
    <col min="14859" max="14859" width="17" customWidth="1"/>
    <col min="15105" max="15105" width="5.85546875" customWidth="1"/>
    <col min="15106" max="15106" width="34.42578125" customWidth="1"/>
    <col min="15107" max="15107" width="9.140625" customWidth="1"/>
    <col min="15108" max="15108" width="8.85546875" customWidth="1"/>
    <col min="15109" max="15110" width="9.140625" bestFit="1" customWidth="1"/>
    <col min="15111" max="15113" width="7.85546875" bestFit="1" customWidth="1"/>
    <col min="15114" max="15114" width="28.42578125" customWidth="1"/>
    <col min="15115" max="15115" width="17" customWidth="1"/>
    <col min="15361" max="15361" width="5.85546875" customWidth="1"/>
    <col min="15362" max="15362" width="34.42578125" customWidth="1"/>
    <col min="15363" max="15363" width="9.140625" customWidth="1"/>
    <col min="15364" max="15364" width="8.85546875" customWidth="1"/>
    <col min="15365" max="15366" width="9.140625" bestFit="1" customWidth="1"/>
    <col min="15367" max="15369" width="7.85546875" bestFit="1" customWidth="1"/>
    <col min="15370" max="15370" width="28.42578125" customWidth="1"/>
    <col min="15371" max="15371" width="17" customWidth="1"/>
    <col min="15617" max="15617" width="5.85546875" customWidth="1"/>
    <col min="15618" max="15618" width="34.42578125" customWidth="1"/>
    <col min="15619" max="15619" width="9.140625" customWidth="1"/>
    <col min="15620" max="15620" width="8.85546875" customWidth="1"/>
    <col min="15621" max="15622" width="9.140625" bestFit="1" customWidth="1"/>
    <col min="15623" max="15625" width="7.85546875" bestFit="1" customWidth="1"/>
    <col min="15626" max="15626" width="28.42578125" customWidth="1"/>
    <col min="15627" max="15627" width="17" customWidth="1"/>
    <col min="15873" max="15873" width="5.85546875" customWidth="1"/>
    <col min="15874" max="15874" width="34.42578125" customWidth="1"/>
    <col min="15875" max="15875" width="9.140625" customWidth="1"/>
    <col min="15876" max="15876" width="8.85546875" customWidth="1"/>
    <col min="15877" max="15878" width="9.140625" bestFit="1" customWidth="1"/>
    <col min="15879" max="15881" width="7.85546875" bestFit="1" customWidth="1"/>
    <col min="15882" max="15882" width="28.42578125" customWidth="1"/>
    <col min="15883" max="15883" width="17" customWidth="1"/>
    <col min="16129" max="16129" width="5.85546875" customWidth="1"/>
    <col min="16130" max="16130" width="34.42578125" customWidth="1"/>
    <col min="16131" max="16131" width="9.140625" customWidth="1"/>
    <col min="16132" max="16132" width="8.85546875" customWidth="1"/>
    <col min="16133" max="16134" width="9.140625" bestFit="1" customWidth="1"/>
    <col min="16135" max="16137" width="7.85546875" bestFit="1" customWidth="1"/>
    <col min="16138" max="16138" width="28.42578125" customWidth="1"/>
    <col min="16139" max="16139" width="17" customWidth="1"/>
  </cols>
  <sheetData>
    <row r="1" spans="1:11" ht="15.75" customHeight="1">
      <c r="A1" s="813" t="s">
        <v>0</v>
      </c>
      <c r="B1" s="814"/>
      <c r="C1" s="814"/>
      <c r="D1" s="814"/>
      <c r="E1" s="814"/>
      <c r="F1" s="814"/>
      <c r="G1" s="814"/>
      <c r="H1" s="814"/>
      <c r="I1" s="814"/>
      <c r="J1" s="814"/>
      <c r="K1" s="815"/>
    </row>
    <row r="2" spans="1:11">
      <c r="A2" s="816"/>
      <c r="B2" s="817"/>
      <c r="C2" s="817"/>
      <c r="D2" s="817"/>
      <c r="E2" s="817"/>
      <c r="F2" s="817"/>
      <c r="G2" s="817"/>
      <c r="H2" s="817"/>
      <c r="I2" s="817"/>
      <c r="J2" s="817"/>
      <c r="K2" s="818"/>
    </row>
    <row r="3" spans="1:11" ht="15" customHeight="1">
      <c r="A3" s="819" t="s">
        <v>1</v>
      </c>
      <c r="B3" s="821" t="s">
        <v>2</v>
      </c>
      <c r="C3" s="821" t="s">
        <v>3</v>
      </c>
      <c r="D3" s="821" t="s">
        <v>4</v>
      </c>
      <c r="E3" s="821"/>
      <c r="F3" s="821"/>
      <c r="G3" s="821"/>
      <c r="H3" s="821"/>
      <c r="I3" s="821"/>
      <c r="J3" s="823" t="s">
        <v>5</v>
      </c>
      <c r="K3" s="821" t="s">
        <v>6</v>
      </c>
    </row>
    <row r="4" spans="1:11" ht="36.75" customHeight="1">
      <c r="A4" s="820"/>
      <c r="B4" s="822"/>
      <c r="C4" s="822"/>
      <c r="D4" s="312" t="s">
        <v>7</v>
      </c>
      <c r="E4" s="7" t="s">
        <v>8</v>
      </c>
      <c r="F4" s="315" t="s">
        <v>9</v>
      </c>
      <c r="G4" s="7" t="s">
        <v>10</v>
      </c>
      <c r="H4" s="7" t="s">
        <v>11</v>
      </c>
      <c r="I4" s="7" t="s">
        <v>12</v>
      </c>
      <c r="J4" s="824"/>
      <c r="K4" s="822"/>
    </row>
    <row r="5" spans="1:11" ht="15" customHeight="1">
      <c r="A5" s="753"/>
      <c r="B5" s="822" t="s">
        <v>13</v>
      </c>
      <c r="C5" s="755" t="s">
        <v>14</v>
      </c>
      <c r="D5" s="314" t="s">
        <v>8</v>
      </c>
      <c r="E5" s="8">
        <f t="shared" ref="E5:E20" si="0">SUM(F5:I5)</f>
        <v>4622250.8000000007</v>
      </c>
      <c r="F5" s="8">
        <f>SUM(F6:F10)</f>
        <v>4100349.6</v>
      </c>
      <c r="G5" s="8">
        <f>SUM(G6:G10)</f>
        <v>186471.3</v>
      </c>
      <c r="H5" s="8">
        <f>SUM(H6:H10)</f>
        <v>271329.90000000002</v>
      </c>
      <c r="I5" s="8">
        <f>SUM(I6:I10)</f>
        <v>64100</v>
      </c>
      <c r="J5" s="824"/>
      <c r="K5" s="822" t="s">
        <v>15</v>
      </c>
    </row>
    <row r="6" spans="1:11">
      <c r="A6" s="753"/>
      <c r="B6" s="822"/>
      <c r="C6" s="755"/>
      <c r="D6" s="314">
        <v>2016</v>
      </c>
      <c r="E6" s="8">
        <f t="shared" si="0"/>
        <v>596162.69999999995</v>
      </c>
      <c r="F6" s="8">
        <f t="shared" ref="F6:I10" si="1">SUM(F12,F84,F216,F432)</f>
        <v>528911.6</v>
      </c>
      <c r="G6" s="8">
        <f t="shared" si="1"/>
        <v>25501.9</v>
      </c>
      <c r="H6" s="8">
        <f t="shared" si="1"/>
        <v>20949.2</v>
      </c>
      <c r="I6" s="8">
        <f t="shared" si="1"/>
        <v>20800</v>
      </c>
      <c r="J6" s="824"/>
      <c r="K6" s="822"/>
    </row>
    <row r="7" spans="1:11">
      <c r="A7" s="753"/>
      <c r="B7" s="822"/>
      <c r="C7" s="755"/>
      <c r="D7" s="314">
        <v>2017</v>
      </c>
      <c r="E7" s="8">
        <f t="shared" si="0"/>
        <v>724029.79999999993</v>
      </c>
      <c r="F7" s="8">
        <f t="shared" si="1"/>
        <v>622094.69999999995</v>
      </c>
      <c r="G7" s="8">
        <f t="shared" si="1"/>
        <v>37021</v>
      </c>
      <c r="H7" s="8">
        <f t="shared" si="1"/>
        <v>49914.100000000006</v>
      </c>
      <c r="I7" s="8">
        <f t="shared" si="1"/>
        <v>15000</v>
      </c>
      <c r="J7" s="824"/>
      <c r="K7" s="822"/>
    </row>
    <row r="8" spans="1:11">
      <c r="A8" s="753"/>
      <c r="B8" s="822"/>
      <c r="C8" s="755"/>
      <c r="D8" s="314">
        <v>2018</v>
      </c>
      <c r="E8" s="8">
        <f>SUM(F8:I8)</f>
        <v>1141313.8999999999</v>
      </c>
      <c r="F8" s="8">
        <f t="shared" si="1"/>
        <v>1055108.7</v>
      </c>
      <c r="G8" s="8">
        <f t="shared" si="1"/>
        <v>32132.199999999997</v>
      </c>
      <c r="H8" s="8">
        <f t="shared" si="1"/>
        <v>54073</v>
      </c>
      <c r="I8" s="8">
        <f t="shared" si="1"/>
        <v>0</v>
      </c>
      <c r="J8" s="824"/>
      <c r="K8" s="822"/>
    </row>
    <row r="9" spans="1:11">
      <c r="A9" s="753"/>
      <c r="B9" s="822"/>
      <c r="C9" s="755"/>
      <c r="D9" s="314">
        <v>2019</v>
      </c>
      <c r="E9" s="8">
        <f>SUM(F9:I9)</f>
        <v>1291680.3</v>
      </c>
      <c r="F9" s="8">
        <f t="shared" si="1"/>
        <v>1087520.5</v>
      </c>
      <c r="G9" s="8">
        <f t="shared" si="1"/>
        <v>91816.2</v>
      </c>
      <c r="H9" s="8">
        <f t="shared" si="1"/>
        <v>84043.6</v>
      </c>
      <c r="I9" s="8">
        <f t="shared" si="1"/>
        <v>28300</v>
      </c>
      <c r="J9" s="824"/>
      <c r="K9" s="822"/>
    </row>
    <row r="10" spans="1:11">
      <c r="A10" s="753"/>
      <c r="B10" s="822"/>
      <c r="C10" s="755"/>
      <c r="D10" s="314">
        <v>2020</v>
      </c>
      <c r="E10" s="8">
        <f>SUM(F10:I10)</f>
        <v>869064.10000000009</v>
      </c>
      <c r="F10" s="8">
        <f t="shared" si="1"/>
        <v>806714.10000000009</v>
      </c>
      <c r="G10" s="8">
        <f t="shared" si="1"/>
        <v>0</v>
      </c>
      <c r="H10" s="8">
        <f t="shared" si="1"/>
        <v>62350</v>
      </c>
      <c r="I10" s="8">
        <f t="shared" si="1"/>
        <v>0</v>
      </c>
      <c r="J10" s="824"/>
      <c r="K10" s="822"/>
    </row>
    <row r="11" spans="1:11" ht="15" customHeight="1">
      <c r="A11" s="753" t="s">
        <v>16</v>
      </c>
      <c r="B11" s="822" t="s">
        <v>17</v>
      </c>
      <c r="C11" s="755" t="s">
        <v>14</v>
      </c>
      <c r="D11" s="314" t="s">
        <v>8</v>
      </c>
      <c r="E11" s="8">
        <f t="shared" si="0"/>
        <v>232739.20000000001</v>
      </c>
      <c r="F11" s="8">
        <f>SUM(F12:F16)</f>
        <v>190283.4</v>
      </c>
      <c r="G11" s="8">
        <f>SUM(G12:G16)</f>
        <v>42455.8</v>
      </c>
      <c r="H11" s="8">
        <f>SUM(H12:H16)</f>
        <v>0</v>
      </c>
      <c r="I11" s="8">
        <f>SUM(I12:I16)</f>
        <v>0</v>
      </c>
      <c r="J11" s="824"/>
      <c r="K11" s="822" t="s">
        <v>18</v>
      </c>
    </row>
    <row r="12" spans="1:11">
      <c r="A12" s="753"/>
      <c r="B12" s="822"/>
      <c r="C12" s="755"/>
      <c r="D12" s="314">
        <v>2016</v>
      </c>
      <c r="E12" s="8">
        <f t="shared" si="0"/>
        <v>20057.099999999999</v>
      </c>
      <c r="F12" s="8">
        <f t="shared" ref="F12:I16" si="2">F18+F60</f>
        <v>12120.599999999999</v>
      </c>
      <c r="G12" s="8">
        <f t="shared" si="2"/>
        <v>7936.5</v>
      </c>
      <c r="H12" s="8">
        <f t="shared" si="2"/>
        <v>0</v>
      </c>
      <c r="I12" s="8">
        <f t="shared" si="2"/>
        <v>0</v>
      </c>
      <c r="J12" s="824"/>
      <c r="K12" s="822"/>
    </row>
    <row r="13" spans="1:11">
      <c r="A13" s="753"/>
      <c r="B13" s="822"/>
      <c r="C13" s="755"/>
      <c r="D13" s="314">
        <v>2017</v>
      </c>
      <c r="E13" s="8">
        <f>SUM(F13:I13)</f>
        <v>29900.6</v>
      </c>
      <c r="F13" s="8">
        <f t="shared" si="2"/>
        <v>12200.599999999999</v>
      </c>
      <c r="G13" s="8">
        <f t="shared" si="2"/>
        <v>17700</v>
      </c>
      <c r="H13" s="8">
        <f t="shared" si="2"/>
        <v>0</v>
      </c>
      <c r="I13" s="8">
        <f t="shared" si="2"/>
        <v>0</v>
      </c>
      <c r="J13" s="824"/>
      <c r="K13" s="822"/>
    </row>
    <row r="14" spans="1:11">
      <c r="A14" s="753"/>
      <c r="B14" s="822"/>
      <c r="C14" s="755"/>
      <c r="D14" s="314">
        <v>2018</v>
      </c>
      <c r="E14" s="8">
        <f t="shared" si="0"/>
        <v>79841.8</v>
      </c>
      <c r="F14" s="8">
        <f t="shared" si="2"/>
        <v>63022.5</v>
      </c>
      <c r="G14" s="8">
        <f t="shared" si="2"/>
        <v>16819.3</v>
      </c>
      <c r="H14" s="8">
        <f t="shared" si="2"/>
        <v>0</v>
      </c>
      <c r="I14" s="8">
        <f t="shared" si="2"/>
        <v>0</v>
      </c>
      <c r="J14" s="824"/>
      <c r="K14" s="822"/>
    </row>
    <row r="15" spans="1:11">
      <c r="A15" s="753"/>
      <c r="B15" s="822"/>
      <c r="C15" s="755"/>
      <c r="D15" s="314">
        <v>2019</v>
      </c>
      <c r="E15" s="8">
        <f>SUM(F15:I15)</f>
        <v>51190.8</v>
      </c>
      <c r="F15" s="8">
        <f t="shared" si="2"/>
        <v>51190.8</v>
      </c>
      <c r="G15" s="8">
        <f t="shared" si="2"/>
        <v>0</v>
      </c>
      <c r="H15" s="8">
        <f t="shared" si="2"/>
        <v>0</v>
      </c>
      <c r="I15" s="8">
        <f t="shared" si="2"/>
        <v>0</v>
      </c>
      <c r="J15" s="824"/>
      <c r="K15" s="822"/>
    </row>
    <row r="16" spans="1:11">
      <c r="A16" s="753"/>
      <c r="B16" s="822"/>
      <c r="C16" s="755"/>
      <c r="D16" s="314">
        <v>2020</v>
      </c>
      <c r="E16" s="8">
        <f>SUM(F16:I16)</f>
        <v>51748.9</v>
      </c>
      <c r="F16" s="8">
        <f t="shared" si="2"/>
        <v>51748.9</v>
      </c>
      <c r="G16" s="8">
        <f t="shared" si="2"/>
        <v>0</v>
      </c>
      <c r="H16" s="8">
        <f t="shared" si="2"/>
        <v>0</v>
      </c>
      <c r="I16" s="8">
        <f t="shared" si="2"/>
        <v>0</v>
      </c>
      <c r="J16" s="824"/>
      <c r="K16" s="822"/>
    </row>
    <row r="17" spans="1:11" ht="15" customHeight="1">
      <c r="A17" s="753" t="s">
        <v>173</v>
      </c>
      <c r="B17" s="820" t="s">
        <v>20</v>
      </c>
      <c r="C17" s="755" t="s">
        <v>14</v>
      </c>
      <c r="D17" s="314" t="s">
        <v>8</v>
      </c>
      <c r="E17" s="8">
        <f t="shared" si="0"/>
        <v>191438.59999999998</v>
      </c>
      <c r="F17" s="8">
        <f>SUM(F18:F22)</f>
        <v>149942.29999999999</v>
      </c>
      <c r="G17" s="8">
        <f>SUM(G18:G22)</f>
        <v>41496.300000000003</v>
      </c>
      <c r="H17" s="8">
        <f>SUM(H18:H22)</f>
        <v>0</v>
      </c>
      <c r="I17" s="8">
        <f>SUM(I18:I22)</f>
        <v>0</v>
      </c>
      <c r="J17" s="824" t="s">
        <v>21</v>
      </c>
      <c r="K17" s="822" t="s">
        <v>18</v>
      </c>
    </row>
    <row r="18" spans="1:11">
      <c r="A18" s="753"/>
      <c r="B18" s="820"/>
      <c r="C18" s="755"/>
      <c r="D18" s="314">
        <v>2016</v>
      </c>
      <c r="E18" s="8">
        <f t="shared" si="0"/>
        <v>15841.4</v>
      </c>
      <c r="F18" s="8">
        <f t="shared" ref="F18:I22" si="3">SUM(F24,F30,F36,F42,F48,F54)</f>
        <v>8864.4</v>
      </c>
      <c r="G18" s="8">
        <f t="shared" si="3"/>
        <v>6977</v>
      </c>
      <c r="H18" s="8">
        <f t="shared" si="3"/>
        <v>0</v>
      </c>
      <c r="I18" s="8">
        <f t="shared" si="3"/>
        <v>0</v>
      </c>
      <c r="J18" s="824"/>
      <c r="K18" s="822"/>
    </row>
    <row r="19" spans="1:11">
      <c r="A19" s="753"/>
      <c r="B19" s="820"/>
      <c r="C19" s="755"/>
      <c r="D19" s="314">
        <v>2017</v>
      </c>
      <c r="E19" s="8">
        <f>SUM(F19:I19)</f>
        <v>27734.400000000001</v>
      </c>
      <c r="F19" s="8">
        <f t="shared" si="3"/>
        <v>10034.4</v>
      </c>
      <c r="G19" s="8">
        <f t="shared" si="3"/>
        <v>17700</v>
      </c>
      <c r="H19" s="8">
        <f t="shared" si="3"/>
        <v>0</v>
      </c>
      <c r="I19" s="8">
        <f t="shared" si="3"/>
        <v>0</v>
      </c>
      <c r="J19" s="824"/>
      <c r="K19" s="822"/>
    </row>
    <row r="20" spans="1:11" ht="16.5" customHeight="1">
      <c r="A20" s="753"/>
      <c r="B20" s="820"/>
      <c r="C20" s="755"/>
      <c r="D20" s="314">
        <v>2018</v>
      </c>
      <c r="E20" s="8">
        <f t="shared" si="0"/>
        <v>68523.399999999994</v>
      </c>
      <c r="F20" s="8">
        <f t="shared" si="3"/>
        <v>51704.1</v>
      </c>
      <c r="G20" s="8">
        <f t="shared" si="3"/>
        <v>16819.3</v>
      </c>
      <c r="H20" s="8">
        <f t="shared" si="3"/>
        <v>0</v>
      </c>
      <c r="I20" s="8">
        <f t="shared" si="3"/>
        <v>0</v>
      </c>
      <c r="J20" s="824"/>
      <c r="K20" s="822"/>
    </row>
    <row r="21" spans="1:11" ht="16.5" customHeight="1">
      <c r="A21" s="753"/>
      <c r="B21" s="820"/>
      <c r="C21" s="755"/>
      <c r="D21" s="314">
        <v>2019</v>
      </c>
      <c r="E21" s="8">
        <f>SUM(F21:I21)</f>
        <v>39555.1</v>
      </c>
      <c r="F21" s="8">
        <f t="shared" si="3"/>
        <v>39555.1</v>
      </c>
      <c r="G21" s="8">
        <f t="shared" si="3"/>
        <v>0</v>
      </c>
      <c r="H21" s="8">
        <f t="shared" si="3"/>
        <v>0</v>
      </c>
      <c r="I21" s="8">
        <f t="shared" si="3"/>
        <v>0</v>
      </c>
      <c r="J21" s="824"/>
      <c r="K21" s="822"/>
    </row>
    <row r="22" spans="1:11" ht="16.5" customHeight="1">
      <c r="A22" s="753"/>
      <c r="B22" s="820"/>
      <c r="C22" s="755"/>
      <c r="D22" s="314">
        <v>2020</v>
      </c>
      <c r="E22" s="8">
        <f>SUM(F22:I22)</f>
        <v>39784.300000000003</v>
      </c>
      <c r="F22" s="8">
        <f t="shared" si="3"/>
        <v>39784.300000000003</v>
      </c>
      <c r="G22" s="8">
        <f t="shared" si="3"/>
        <v>0</v>
      </c>
      <c r="H22" s="8">
        <f t="shared" si="3"/>
        <v>0</v>
      </c>
      <c r="I22" s="8">
        <f t="shared" si="3"/>
        <v>0</v>
      </c>
      <c r="J22" s="824"/>
      <c r="K22" s="822"/>
    </row>
    <row r="23" spans="1:11" s="2" customFormat="1" ht="16.5" customHeight="1">
      <c r="A23" s="753" t="s">
        <v>19</v>
      </c>
      <c r="B23" s="820" t="s">
        <v>22</v>
      </c>
      <c r="C23" s="755" t="s">
        <v>14</v>
      </c>
      <c r="D23" s="314" t="s">
        <v>8</v>
      </c>
      <c r="E23" s="8">
        <f t="shared" ref="E23:E32" si="4">SUM(F23:I23)</f>
        <v>43124.3</v>
      </c>
      <c r="F23" s="8">
        <f>SUM(F24:F28)</f>
        <v>43124.3</v>
      </c>
      <c r="G23" s="8">
        <f>SUM(G24:G28)</f>
        <v>0</v>
      </c>
      <c r="H23" s="8">
        <f>SUM(H24:H28)</f>
        <v>0</v>
      </c>
      <c r="I23" s="8">
        <f>SUM(I24:I28)</f>
        <v>0</v>
      </c>
      <c r="J23" s="824" t="s">
        <v>180</v>
      </c>
      <c r="K23" s="822" t="s">
        <v>23</v>
      </c>
    </row>
    <row r="24" spans="1:11" s="2" customFormat="1">
      <c r="A24" s="753"/>
      <c r="B24" s="820"/>
      <c r="C24" s="755"/>
      <c r="D24" s="314">
        <v>2016</v>
      </c>
      <c r="E24" s="8">
        <f t="shared" si="4"/>
        <v>4096.3999999999996</v>
      </c>
      <c r="F24" s="8">
        <v>4096.3999999999996</v>
      </c>
      <c r="G24" s="9">
        <v>0</v>
      </c>
      <c r="H24" s="9">
        <v>0</v>
      </c>
      <c r="I24" s="9">
        <v>0</v>
      </c>
      <c r="J24" s="824"/>
      <c r="K24" s="822"/>
    </row>
    <row r="25" spans="1:11" s="2" customFormat="1">
      <c r="A25" s="753"/>
      <c r="B25" s="820"/>
      <c r="C25" s="755"/>
      <c r="D25" s="314">
        <v>2017</v>
      </c>
      <c r="E25" s="8">
        <f>SUM(F25:I25)</f>
        <v>5186.3999999999996</v>
      </c>
      <c r="F25" s="8">
        <v>5186.3999999999996</v>
      </c>
      <c r="G25" s="9">
        <v>0</v>
      </c>
      <c r="H25" s="9">
        <v>0</v>
      </c>
      <c r="I25" s="9">
        <v>0</v>
      </c>
      <c r="J25" s="824"/>
      <c r="K25" s="822"/>
    </row>
    <row r="26" spans="1:11" s="2" customFormat="1">
      <c r="A26" s="753"/>
      <c r="B26" s="820"/>
      <c r="C26" s="755"/>
      <c r="D26" s="314">
        <v>2018</v>
      </c>
      <c r="E26" s="8">
        <f t="shared" si="4"/>
        <v>11216.3</v>
      </c>
      <c r="F26" s="8">
        <v>11216.3</v>
      </c>
      <c r="G26" s="9">
        <v>0</v>
      </c>
      <c r="H26" s="9">
        <v>0</v>
      </c>
      <c r="I26" s="9">
        <v>0</v>
      </c>
      <c r="J26" s="824"/>
      <c r="K26" s="822"/>
    </row>
    <row r="27" spans="1:11" s="2" customFormat="1">
      <c r="A27" s="753"/>
      <c r="B27" s="820"/>
      <c r="C27" s="755"/>
      <c r="D27" s="314">
        <v>2019</v>
      </c>
      <c r="E27" s="8">
        <f>SUM(F27:I27)</f>
        <v>11198</v>
      </c>
      <c r="F27" s="8">
        <v>11198</v>
      </c>
      <c r="G27" s="9">
        <v>0</v>
      </c>
      <c r="H27" s="9">
        <v>0</v>
      </c>
      <c r="I27" s="9">
        <v>0</v>
      </c>
      <c r="J27" s="824"/>
      <c r="K27" s="822"/>
    </row>
    <row r="28" spans="1:11" s="2" customFormat="1">
      <c r="A28" s="753"/>
      <c r="B28" s="820"/>
      <c r="C28" s="755"/>
      <c r="D28" s="314">
        <v>2020</v>
      </c>
      <c r="E28" s="8">
        <f>SUM(F28:I28)</f>
        <v>11427.2</v>
      </c>
      <c r="F28" s="8">
        <v>11427.2</v>
      </c>
      <c r="G28" s="9">
        <v>0</v>
      </c>
      <c r="H28" s="9">
        <v>0</v>
      </c>
      <c r="I28" s="9">
        <v>0</v>
      </c>
      <c r="J28" s="824"/>
      <c r="K28" s="822"/>
    </row>
    <row r="29" spans="1:11" s="2" customFormat="1" ht="15" customHeight="1">
      <c r="A29" s="753" t="s">
        <v>181</v>
      </c>
      <c r="B29" s="820" t="s">
        <v>275</v>
      </c>
      <c r="C29" s="755" t="s">
        <v>14</v>
      </c>
      <c r="D29" s="314" t="s">
        <v>8</v>
      </c>
      <c r="E29" s="8">
        <f t="shared" si="4"/>
        <v>9090</v>
      </c>
      <c r="F29" s="8">
        <f>SUM(F30:F34)</f>
        <v>9090</v>
      </c>
      <c r="G29" s="8">
        <f>SUM(G30:G34)</f>
        <v>0</v>
      </c>
      <c r="H29" s="8">
        <f>SUM(H30:H34)</f>
        <v>0</v>
      </c>
      <c r="I29" s="8">
        <f>SUM(I30:I34)</f>
        <v>0</v>
      </c>
      <c r="J29" s="824" t="s">
        <v>25</v>
      </c>
      <c r="K29" s="822" t="s">
        <v>26</v>
      </c>
    </row>
    <row r="30" spans="1:11" s="2" customFormat="1">
      <c r="A30" s="753"/>
      <c r="B30" s="820"/>
      <c r="C30" s="755"/>
      <c r="D30" s="314">
        <v>2016</v>
      </c>
      <c r="E30" s="8">
        <f t="shared" si="4"/>
        <v>1818</v>
      </c>
      <c r="F30" s="8">
        <v>1818</v>
      </c>
      <c r="G30" s="9">
        <v>0</v>
      </c>
      <c r="H30" s="9">
        <v>0</v>
      </c>
      <c r="I30" s="9">
        <v>0</v>
      </c>
      <c r="J30" s="824"/>
      <c r="K30" s="822"/>
    </row>
    <row r="31" spans="1:11" s="2" customFormat="1">
      <c r="A31" s="753"/>
      <c r="B31" s="820"/>
      <c r="C31" s="755"/>
      <c r="D31" s="314">
        <v>2017</v>
      </c>
      <c r="E31" s="8">
        <f>SUM(F31:I31)</f>
        <v>1818</v>
      </c>
      <c r="F31" s="8">
        <v>1818</v>
      </c>
      <c r="G31" s="9">
        <v>0</v>
      </c>
      <c r="H31" s="9">
        <v>0</v>
      </c>
      <c r="I31" s="9">
        <v>0</v>
      </c>
      <c r="J31" s="824"/>
      <c r="K31" s="822"/>
    </row>
    <row r="32" spans="1:11" s="2" customFormat="1">
      <c r="A32" s="753"/>
      <c r="B32" s="820"/>
      <c r="C32" s="755"/>
      <c r="D32" s="314">
        <v>2018</v>
      </c>
      <c r="E32" s="8">
        <f t="shared" si="4"/>
        <v>1818</v>
      </c>
      <c r="F32" s="8">
        <v>1818</v>
      </c>
      <c r="G32" s="9">
        <v>0</v>
      </c>
      <c r="H32" s="9">
        <v>0</v>
      </c>
      <c r="I32" s="9">
        <v>0</v>
      </c>
      <c r="J32" s="824"/>
      <c r="K32" s="822"/>
    </row>
    <row r="33" spans="1:11" s="2" customFormat="1">
      <c r="A33" s="753"/>
      <c r="B33" s="820"/>
      <c r="C33" s="755"/>
      <c r="D33" s="314">
        <v>2019</v>
      </c>
      <c r="E33" s="8">
        <f t="shared" ref="E33:E68" si="5">SUM(F33:I33)</f>
        <v>1818</v>
      </c>
      <c r="F33" s="8">
        <v>1818</v>
      </c>
      <c r="G33" s="9">
        <v>0</v>
      </c>
      <c r="H33" s="9">
        <v>0</v>
      </c>
      <c r="I33" s="9">
        <v>0</v>
      </c>
      <c r="J33" s="824"/>
      <c r="K33" s="822"/>
    </row>
    <row r="34" spans="1:11" s="2" customFormat="1">
      <c r="A34" s="753"/>
      <c r="B34" s="820"/>
      <c r="C34" s="755"/>
      <c r="D34" s="314">
        <v>2020</v>
      </c>
      <c r="E34" s="8">
        <f t="shared" si="5"/>
        <v>1818</v>
      </c>
      <c r="F34" s="8">
        <v>1818</v>
      </c>
      <c r="G34" s="9">
        <v>0</v>
      </c>
      <c r="H34" s="9">
        <v>0</v>
      </c>
      <c r="I34" s="9">
        <v>0</v>
      </c>
      <c r="J34" s="824"/>
      <c r="K34" s="822"/>
    </row>
    <row r="35" spans="1:11" s="2" customFormat="1" ht="13.5" customHeight="1">
      <c r="A35" s="753" t="s">
        <v>183</v>
      </c>
      <c r="B35" s="820" t="s">
        <v>27</v>
      </c>
      <c r="C35" s="755" t="s">
        <v>152</v>
      </c>
      <c r="D35" s="314" t="s">
        <v>8</v>
      </c>
      <c r="E35" s="8">
        <f t="shared" ref="E35:E40" si="6">SUM(F35:I35)</f>
        <v>14250</v>
      </c>
      <c r="F35" s="8">
        <f>SUM(F36:F40)</f>
        <v>14250</v>
      </c>
      <c r="G35" s="8">
        <f>SUM(G36:G40)</f>
        <v>0</v>
      </c>
      <c r="H35" s="8">
        <f>SUM(H36:H40)</f>
        <v>0</v>
      </c>
      <c r="I35" s="8">
        <f>SUM(I36:I40)</f>
        <v>0</v>
      </c>
      <c r="J35" s="824" t="s">
        <v>276</v>
      </c>
      <c r="K35" s="822" t="s">
        <v>23</v>
      </c>
    </row>
    <row r="36" spans="1:11" s="2" customFormat="1" ht="13.5" customHeight="1">
      <c r="A36" s="753"/>
      <c r="B36" s="820"/>
      <c r="C36" s="755"/>
      <c r="D36" s="314">
        <v>2016</v>
      </c>
      <c r="E36" s="8">
        <f t="shared" si="6"/>
        <v>2850</v>
      </c>
      <c r="F36" s="8">
        <v>2850</v>
      </c>
      <c r="G36" s="9">
        <v>0</v>
      </c>
      <c r="H36" s="9">
        <v>0</v>
      </c>
      <c r="I36" s="9">
        <v>0</v>
      </c>
      <c r="J36" s="824"/>
      <c r="K36" s="822"/>
    </row>
    <row r="37" spans="1:11" s="2" customFormat="1" ht="13.5" customHeight="1">
      <c r="A37" s="753"/>
      <c r="B37" s="820"/>
      <c r="C37" s="755"/>
      <c r="D37" s="314">
        <v>2017</v>
      </c>
      <c r="E37" s="8">
        <f t="shared" si="6"/>
        <v>2850</v>
      </c>
      <c r="F37" s="8">
        <v>2850</v>
      </c>
      <c r="G37" s="9">
        <v>0</v>
      </c>
      <c r="H37" s="9">
        <v>0</v>
      </c>
      <c r="I37" s="9">
        <v>0</v>
      </c>
      <c r="J37" s="824"/>
      <c r="K37" s="822"/>
    </row>
    <row r="38" spans="1:11" s="2" customFormat="1" ht="13.5" customHeight="1">
      <c r="A38" s="753"/>
      <c r="B38" s="820"/>
      <c r="C38" s="755"/>
      <c r="D38" s="314">
        <v>2018</v>
      </c>
      <c r="E38" s="8">
        <f t="shared" si="6"/>
        <v>2850</v>
      </c>
      <c r="F38" s="8">
        <v>2850</v>
      </c>
      <c r="G38" s="9">
        <v>0</v>
      </c>
      <c r="H38" s="9">
        <v>0</v>
      </c>
      <c r="I38" s="9">
        <v>0</v>
      </c>
      <c r="J38" s="824"/>
      <c r="K38" s="822"/>
    </row>
    <row r="39" spans="1:11" s="2" customFormat="1" ht="13.5" customHeight="1">
      <c r="A39" s="753"/>
      <c r="B39" s="820"/>
      <c r="C39" s="755"/>
      <c r="D39" s="314">
        <v>2019</v>
      </c>
      <c r="E39" s="8">
        <f t="shared" si="6"/>
        <v>2850</v>
      </c>
      <c r="F39" s="8">
        <v>2850</v>
      </c>
      <c r="G39" s="9">
        <v>0</v>
      </c>
      <c r="H39" s="9">
        <v>0</v>
      </c>
      <c r="I39" s="9">
        <v>0</v>
      </c>
      <c r="J39" s="824"/>
      <c r="K39" s="822"/>
    </row>
    <row r="40" spans="1:11" s="2" customFormat="1" ht="13.5" customHeight="1">
      <c r="A40" s="753"/>
      <c r="B40" s="820"/>
      <c r="C40" s="755"/>
      <c r="D40" s="314">
        <v>2020</v>
      </c>
      <c r="E40" s="8">
        <f t="shared" si="6"/>
        <v>2850</v>
      </c>
      <c r="F40" s="8">
        <v>2850</v>
      </c>
      <c r="G40" s="9">
        <v>0</v>
      </c>
      <c r="H40" s="9">
        <v>0</v>
      </c>
      <c r="I40" s="9">
        <v>0</v>
      </c>
      <c r="J40" s="824"/>
      <c r="K40" s="822"/>
    </row>
    <row r="41" spans="1:11" s="2" customFormat="1" ht="15.75" customHeight="1">
      <c r="A41" s="753" t="s">
        <v>184</v>
      </c>
      <c r="B41" s="820" t="s">
        <v>29</v>
      </c>
      <c r="C41" s="755" t="s">
        <v>152</v>
      </c>
      <c r="D41" s="314" t="s">
        <v>8</v>
      </c>
      <c r="E41" s="8">
        <f t="shared" si="5"/>
        <v>63591.899999999994</v>
      </c>
      <c r="F41" s="8">
        <f>SUM(F42:F46)</f>
        <v>29771.3</v>
      </c>
      <c r="G41" s="8">
        <f>SUM(G42:G46)</f>
        <v>33820.6</v>
      </c>
      <c r="H41" s="8">
        <f>SUM(H42:H46)</f>
        <v>0</v>
      </c>
      <c r="I41" s="8">
        <f>SUM(I42:I46)</f>
        <v>0</v>
      </c>
      <c r="J41" s="824" t="s">
        <v>31</v>
      </c>
      <c r="K41" s="824" t="s">
        <v>277</v>
      </c>
    </row>
    <row r="42" spans="1:11" s="2" customFormat="1">
      <c r="A42" s="753"/>
      <c r="B42" s="820"/>
      <c r="C42" s="755"/>
      <c r="D42" s="314">
        <v>2016</v>
      </c>
      <c r="E42" s="8">
        <f t="shared" si="5"/>
        <v>7077</v>
      </c>
      <c r="F42" s="9">
        <v>100</v>
      </c>
      <c r="G42" s="9">
        <v>6977</v>
      </c>
      <c r="H42" s="9">
        <v>0</v>
      </c>
      <c r="I42" s="9">
        <v>0</v>
      </c>
      <c r="J42" s="824"/>
      <c r="K42" s="824"/>
    </row>
    <row r="43" spans="1:11" s="2" customFormat="1">
      <c r="A43" s="753"/>
      <c r="B43" s="820"/>
      <c r="C43" s="755"/>
      <c r="D43" s="314">
        <v>2017</v>
      </c>
      <c r="E43" s="8">
        <f t="shared" si="5"/>
        <v>17880</v>
      </c>
      <c r="F43" s="9">
        <v>180</v>
      </c>
      <c r="G43" s="9">
        <v>17700</v>
      </c>
      <c r="H43" s="9">
        <v>0</v>
      </c>
      <c r="I43" s="9">
        <v>0</v>
      </c>
      <c r="J43" s="824"/>
      <c r="K43" s="824"/>
    </row>
    <row r="44" spans="1:11" s="2" customFormat="1">
      <c r="A44" s="753"/>
      <c r="B44" s="820"/>
      <c r="C44" s="755"/>
      <c r="D44" s="314">
        <v>2018</v>
      </c>
      <c r="E44" s="8">
        <f t="shared" si="5"/>
        <v>12878.3</v>
      </c>
      <c r="F44" s="9">
        <v>3734.7</v>
      </c>
      <c r="G44" s="9">
        <v>9143.6</v>
      </c>
      <c r="H44" s="9">
        <v>0</v>
      </c>
      <c r="I44" s="9">
        <v>0</v>
      </c>
      <c r="J44" s="824"/>
      <c r="K44" s="824"/>
    </row>
    <row r="45" spans="1:11" s="2" customFormat="1">
      <c r="A45" s="753"/>
      <c r="B45" s="820"/>
      <c r="C45" s="755"/>
      <c r="D45" s="314">
        <v>2019</v>
      </c>
      <c r="E45" s="8">
        <f t="shared" si="5"/>
        <v>12878.3</v>
      </c>
      <c r="F45" s="9">
        <v>12878.3</v>
      </c>
      <c r="G45" s="9">
        <v>0</v>
      </c>
      <c r="H45" s="9">
        <v>0</v>
      </c>
      <c r="I45" s="9">
        <v>0</v>
      </c>
      <c r="J45" s="824"/>
      <c r="K45" s="824"/>
    </row>
    <row r="46" spans="1:11" s="2" customFormat="1">
      <c r="A46" s="753"/>
      <c r="B46" s="820"/>
      <c r="C46" s="755"/>
      <c r="D46" s="314">
        <v>2020</v>
      </c>
      <c r="E46" s="8">
        <f t="shared" si="5"/>
        <v>12878.3</v>
      </c>
      <c r="F46" s="9">
        <v>12878.3</v>
      </c>
      <c r="G46" s="9">
        <v>0</v>
      </c>
      <c r="H46" s="9">
        <v>0</v>
      </c>
      <c r="I46" s="9">
        <v>0</v>
      </c>
      <c r="J46" s="824"/>
      <c r="K46" s="824"/>
    </row>
    <row r="47" spans="1:11" s="2" customFormat="1" ht="15" customHeight="1">
      <c r="A47" s="765" t="s">
        <v>185</v>
      </c>
      <c r="B47" s="825" t="s">
        <v>186</v>
      </c>
      <c r="C47" s="762" t="s">
        <v>187</v>
      </c>
      <c r="D47" s="51" t="s">
        <v>8</v>
      </c>
      <c r="E47" s="8">
        <f t="shared" si="5"/>
        <v>32432.399999999998</v>
      </c>
      <c r="F47" s="8">
        <f>SUM(F48:F52)</f>
        <v>24756.699999999997</v>
      </c>
      <c r="G47" s="8">
        <f>SUM(G48:G52)</f>
        <v>7675.7</v>
      </c>
      <c r="H47" s="8">
        <f>SUM(H48:H52)</f>
        <v>0</v>
      </c>
      <c r="I47" s="8">
        <f>SUM(I48:I52)</f>
        <v>0</v>
      </c>
      <c r="J47" s="824" t="s">
        <v>188</v>
      </c>
      <c r="K47" s="822" t="s">
        <v>26</v>
      </c>
    </row>
    <row r="48" spans="1:11" s="2" customFormat="1">
      <c r="A48" s="762"/>
      <c r="B48" s="825"/>
      <c r="C48" s="762"/>
      <c r="D48" s="51">
        <v>2016</v>
      </c>
      <c r="E48" s="8">
        <f t="shared" si="5"/>
        <v>0</v>
      </c>
      <c r="F48" s="9">
        <v>0</v>
      </c>
      <c r="G48" s="9">
        <v>0</v>
      </c>
      <c r="H48" s="9">
        <v>0</v>
      </c>
      <c r="I48" s="9">
        <v>0</v>
      </c>
      <c r="J48" s="824"/>
      <c r="K48" s="822"/>
    </row>
    <row r="49" spans="1:11" s="2" customFormat="1">
      <c r="A49" s="762"/>
      <c r="B49" s="825"/>
      <c r="C49" s="762"/>
      <c r="D49" s="51">
        <v>2017</v>
      </c>
      <c r="E49" s="8">
        <f t="shared" si="5"/>
        <v>0</v>
      </c>
      <c r="F49" s="9">
        <v>0</v>
      </c>
      <c r="G49" s="9">
        <v>0</v>
      </c>
      <c r="H49" s="9">
        <v>0</v>
      </c>
      <c r="I49" s="9">
        <v>0</v>
      </c>
      <c r="J49" s="824"/>
      <c r="K49" s="822"/>
    </row>
    <row r="50" spans="1:11" s="2" customFormat="1">
      <c r="A50" s="762"/>
      <c r="B50" s="825"/>
      <c r="C50" s="762"/>
      <c r="D50" s="314">
        <v>2018</v>
      </c>
      <c r="E50" s="8">
        <f t="shared" si="5"/>
        <v>10810.8</v>
      </c>
      <c r="F50" s="9">
        <v>3135.1</v>
      </c>
      <c r="G50" s="9">
        <v>7675.7</v>
      </c>
      <c r="H50" s="9">
        <v>0</v>
      </c>
      <c r="I50" s="9">
        <v>0</v>
      </c>
      <c r="J50" s="824"/>
      <c r="K50" s="822"/>
    </row>
    <row r="51" spans="1:11" s="2" customFormat="1">
      <c r="A51" s="762"/>
      <c r="B51" s="825"/>
      <c r="C51" s="762"/>
      <c r="D51" s="314">
        <v>2019</v>
      </c>
      <c r="E51" s="8">
        <f t="shared" si="5"/>
        <v>10810.8</v>
      </c>
      <c r="F51" s="9">
        <v>10810.8</v>
      </c>
      <c r="G51" s="9">
        <v>0</v>
      </c>
      <c r="H51" s="9">
        <v>0</v>
      </c>
      <c r="I51" s="9">
        <v>0</v>
      </c>
      <c r="J51" s="824"/>
      <c r="K51" s="822"/>
    </row>
    <row r="52" spans="1:11" s="2" customFormat="1">
      <c r="A52" s="762"/>
      <c r="B52" s="825"/>
      <c r="C52" s="762"/>
      <c r="D52" s="314">
        <v>2020</v>
      </c>
      <c r="E52" s="8">
        <f t="shared" si="5"/>
        <v>10810.8</v>
      </c>
      <c r="F52" s="9">
        <v>10810.8</v>
      </c>
      <c r="G52" s="9">
        <v>0</v>
      </c>
      <c r="H52" s="9">
        <v>0</v>
      </c>
      <c r="I52" s="9">
        <v>0</v>
      </c>
      <c r="J52" s="824"/>
      <c r="K52" s="822"/>
    </row>
    <row r="53" spans="1:11" s="2" customFormat="1" ht="15" customHeight="1">
      <c r="A53" s="765" t="s">
        <v>189</v>
      </c>
      <c r="B53" s="825" t="s">
        <v>190</v>
      </c>
      <c r="C53" s="762">
        <v>2018</v>
      </c>
      <c r="D53" s="51" t="s">
        <v>8</v>
      </c>
      <c r="E53" s="8">
        <f t="shared" si="5"/>
        <v>28950</v>
      </c>
      <c r="F53" s="8">
        <f>SUM(F54:F58)</f>
        <v>28950</v>
      </c>
      <c r="G53" s="8">
        <f>SUM(G54:G58)</f>
        <v>0</v>
      </c>
      <c r="H53" s="8">
        <f>SUM(H54:H58)</f>
        <v>0</v>
      </c>
      <c r="I53" s="8">
        <f>SUM(I54:I58)</f>
        <v>0</v>
      </c>
      <c r="J53" s="824" t="s">
        <v>191</v>
      </c>
      <c r="K53" s="822" t="s">
        <v>26</v>
      </c>
    </row>
    <row r="54" spans="1:11" s="2" customFormat="1">
      <c r="A54" s="762"/>
      <c r="B54" s="825"/>
      <c r="C54" s="762"/>
      <c r="D54" s="51">
        <v>2016</v>
      </c>
      <c r="E54" s="8">
        <f t="shared" si="5"/>
        <v>0</v>
      </c>
      <c r="F54" s="9">
        <v>0</v>
      </c>
      <c r="G54" s="9">
        <v>0</v>
      </c>
      <c r="H54" s="9">
        <v>0</v>
      </c>
      <c r="I54" s="9">
        <v>0</v>
      </c>
      <c r="J54" s="824"/>
      <c r="K54" s="822"/>
    </row>
    <row r="55" spans="1:11" s="2" customFormat="1">
      <c r="A55" s="762"/>
      <c r="B55" s="825"/>
      <c r="C55" s="762"/>
      <c r="D55" s="51">
        <v>2017</v>
      </c>
      <c r="E55" s="8">
        <f t="shared" si="5"/>
        <v>0</v>
      </c>
      <c r="F55" s="9">
        <v>0</v>
      </c>
      <c r="G55" s="9">
        <v>0</v>
      </c>
      <c r="H55" s="9">
        <v>0</v>
      </c>
      <c r="I55" s="9">
        <v>0</v>
      </c>
      <c r="J55" s="824"/>
      <c r="K55" s="822"/>
    </row>
    <row r="56" spans="1:11" s="2" customFormat="1">
      <c r="A56" s="762"/>
      <c r="B56" s="825"/>
      <c r="C56" s="762"/>
      <c r="D56" s="314">
        <v>2018</v>
      </c>
      <c r="E56" s="8">
        <f t="shared" si="5"/>
        <v>28950</v>
      </c>
      <c r="F56" s="9">
        <v>28950</v>
      </c>
      <c r="G56" s="9">
        <v>0</v>
      </c>
      <c r="H56" s="9">
        <v>0</v>
      </c>
      <c r="I56" s="9">
        <v>0</v>
      </c>
      <c r="J56" s="824"/>
      <c r="K56" s="822"/>
    </row>
    <row r="57" spans="1:11" s="2" customFormat="1">
      <c r="A57" s="762"/>
      <c r="B57" s="825"/>
      <c r="C57" s="762"/>
      <c r="D57" s="314">
        <v>2019</v>
      </c>
      <c r="E57" s="8">
        <f t="shared" si="5"/>
        <v>0</v>
      </c>
      <c r="F57" s="9">
        <v>0</v>
      </c>
      <c r="G57" s="9">
        <v>0</v>
      </c>
      <c r="H57" s="9">
        <v>0</v>
      </c>
      <c r="I57" s="9">
        <v>0</v>
      </c>
      <c r="J57" s="824"/>
      <c r="K57" s="822"/>
    </row>
    <row r="58" spans="1:11" s="2" customFormat="1">
      <c r="A58" s="762"/>
      <c r="B58" s="825"/>
      <c r="C58" s="762"/>
      <c r="D58" s="314">
        <v>2020</v>
      </c>
      <c r="E58" s="8">
        <f t="shared" si="5"/>
        <v>0</v>
      </c>
      <c r="F58" s="9">
        <v>0</v>
      </c>
      <c r="G58" s="9">
        <v>0</v>
      </c>
      <c r="H58" s="9">
        <v>0</v>
      </c>
      <c r="I58" s="9">
        <v>0</v>
      </c>
      <c r="J58" s="824"/>
      <c r="K58" s="822"/>
    </row>
    <row r="59" spans="1:11" ht="20.100000000000001" customHeight="1">
      <c r="A59" s="753" t="s">
        <v>174</v>
      </c>
      <c r="B59" s="820" t="s">
        <v>34</v>
      </c>
      <c r="C59" s="755" t="s">
        <v>14</v>
      </c>
      <c r="D59" s="314" t="s">
        <v>8</v>
      </c>
      <c r="E59" s="8">
        <f t="shared" si="5"/>
        <v>41300.6</v>
      </c>
      <c r="F59" s="8">
        <f>SUM(F60:F64)</f>
        <v>40341.1</v>
      </c>
      <c r="G59" s="8">
        <f>SUM(G60:G63)</f>
        <v>959.5</v>
      </c>
      <c r="H59" s="8">
        <f>SUM(H60:H63)</f>
        <v>0</v>
      </c>
      <c r="I59" s="8">
        <f>SUM(I60:I63)</f>
        <v>0</v>
      </c>
      <c r="J59" s="824" t="s">
        <v>35</v>
      </c>
      <c r="K59" s="822" t="s">
        <v>26</v>
      </c>
    </row>
    <row r="60" spans="1:11" ht="20.100000000000001" customHeight="1">
      <c r="A60" s="753"/>
      <c r="B60" s="820"/>
      <c r="C60" s="755"/>
      <c r="D60" s="314">
        <v>2016</v>
      </c>
      <c r="E60" s="8">
        <f t="shared" si="5"/>
        <v>4215.7</v>
      </c>
      <c r="F60" s="8">
        <f t="shared" ref="F60:I64" si="7">F66+F72+F78</f>
        <v>3256.2</v>
      </c>
      <c r="G60" s="8">
        <f t="shared" si="7"/>
        <v>959.5</v>
      </c>
      <c r="H60" s="8">
        <f t="shared" si="7"/>
        <v>0</v>
      </c>
      <c r="I60" s="8">
        <f t="shared" si="7"/>
        <v>0</v>
      </c>
      <c r="J60" s="824"/>
      <c r="K60" s="822"/>
    </row>
    <row r="61" spans="1:11" ht="20.100000000000001" customHeight="1">
      <c r="A61" s="753"/>
      <c r="B61" s="820"/>
      <c r="C61" s="755"/>
      <c r="D61" s="314">
        <v>2017</v>
      </c>
      <c r="E61" s="8">
        <f>SUM(F61:I61)</f>
        <v>2166.1999999999998</v>
      </c>
      <c r="F61" s="8">
        <f t="shared" si="7"/>
        <v>2166.1999999999998</v>
      </c>
      <c r="G61" s="8">
        <f t="shared" si="7"/>
        <v>0</v>
      </c>
      <c r="H61" s="8">
        <f t="shared" si="7"/>
        <v>0</v>
      </c>
      <c r="I61" s="8">
        <f t="shared" si="7"/>
        <v>0</v>
      </c>
      <c r="J61" s="824"/>
      <c r="K61" s="822"/>
    </row>
    <row r="62" spans="1:11" ht="20.100000000000001" customHeight="1">
      <c r="A62" s="753"/>
      <c r="B62" s="820"/>
      <c r="C62" s="755"/>
      <c r="D62" s="314">
        <v>2018</v>
      </c>
      <c r="E62" s="8">
        <f t="shared" si="5"/>
        <v>11318.4</v>
      </c>
      <c r="F62" s="8">
        <f t="shared" si="7"/>
        <v>11318.4</v>
      </c>
      <c r="G62" s="8">
        <f t="shared" si="7"/>
        <v>0</v>
      </c>
      <c r="H62" s="8">
        <f t="shared" si="7"/>
        <v>0</v>
      </c>
      <c r="I62" s="8">
        <f t="shared" si="7"/>
        <v>0</v>
      </c>
      <c r="J62" s="824"/>
      <c r="K62" s="822"/>
    </row>
    <row r="63" spans="1:11" ht="20.100000000000001" customHeight="1">
      <c r="A63" s="753"/>
      <c r="B63" s="820"/>
      <c r="C63" s="755"/>
      <c r="D63" s="314">
        <v>2019</v>
      </c>
      <c r="E63" s="8">
        <f>SUM(F63:I63)</f>
        <v>11635.7</v>
      </c>
      <c r="F63" s="8">
        <f t="shared" si="7"/>
        <v>11635.7</v>
      </c>
      <c r="G63" s="8">
        <f t="shared" si="7"/>
        <v>0</v>
      </c>
      <c r="H63" s="8">
        <f t="shared" si="7"/>
        <v>0</v>
      </c>
      <c r="I63" s="8">
        <f t="shared" si="7"/>
        <v>0</v>
      </c>
      <c r="J63" s="824"/>
      <c r="K63" s="822"/>
    </row>
    <row r="64" spans="1:11" ht="20.100000000000001" customHeight="1">
      <c r="A64" s="753"/>
      <c r="B64" s="820"/>
      <c r="C64" s="755"/>
      <c r="D64" s="314">
        <v>2020</v>
      </c>
      <c r="E64" s="8">
        <f>SUM(F64:I64)</f>
        <v>11964.6</v>
      </c>
      <c r="F64" s="8">
        <f t="shared" si="7"/>
        <v>11964.6</v>
      </c>
      <c r="G64" s="8">
        <f t="shared" si="7"/>
        <v>0</v>
      </c>
      <c r="H64" s="8">
        <f t="shared" si="7"/>
        <v>0</v>
      </c>
      <c r="I64" s="8">
        <f t="shared" si="7"/>
        <v>0</v>
      </c>
      <c r="J64" s="824"/>
      <c r="K64" s="822"/>
    </row>
    <row r="65" spans="1:11" s="2" customFormat="1" ht="18.75" customHeight="1">
      <c r="A65" s="753" t="s">
        <v>33</v>
      </c>
      <c r="B65" s="820" t="s">
        <v>36</v>
      </c>
      <c r="C65" s="755" t="s">
        <v>160</v>
      </c>
      <c r="D65" s="314" t="s">
        <v>8</v>
      </c>
      <c r="E65" s="8">
        <f t="shared" si="5"/>
        <v>950</v>
      </c>
      <c r="F65" s="8">
        <f>SUM(F66:F70)</f>
        <v>950</v>
      </c>
      <c r="G65" s="8">
        <f>SUM(G66:G70)</f>
        <v>0</v>
      </c>
      <c r="H65" s="8">
        <f>SUM(H66:H70)</f>
        <v>0</v>
      </c>
      <c r="I65" s="8">
        <f>SUM(I66:I70)</f>
        <v>0</v>
      </c>
      <c r="J65" s="824" t="s">
        <v>37</v>
      </c>
      <c r="K65" s="824" t="s">
        <v>23</v>
      </c>
    </row>
    <row r="66" spans="1:11" s="2" customFormat="1" ht="18.75" customHeight="1">
      <c r="A66" s="753"/>
      <c r="B66" s="820"/>
      <c r="C66" s="755"/>
      <c r="D66" s="314">
        <v>2016</v>
      </c>
      <c r="E66" s="8">
        <f t="shared" si="5"/>
        <v>475</v>
      </c>
      <c r="F66" s="8">
        <v>475</v>
      </c>
      <c r="G66" s="9">
        <v>0</v>
      </c>
      <c r="H66" s="9">
        <v>0</v>
      </c>
      <c r="I66" s="9">
        <v>0</v>
      </c>
      <c r="J66" s="824"/>
      <c r="K66" s="824"/>
    </row>
    <row r="67" spans="1:11" s="2" customFormat="1" ht="18.75" customHeight="1">
      <c r="A67" s="753"/>
      <c r="B67" s="820"/>
      <c r="C67" s="755"/>
      <c r="D67" s="314">
        <v>2017</v>
      </c>
      <c r="E67" s="8">
        <f>SUM(F67:I67)</f>
        <v>475</v>
      </c>
      <c r="F67" s="8">
        <v>475</v>
      </c>
      <c r="G67" s="9">
        <v>0</v>
      </c>
      <c r="H67" s="9">
        <v>0</v>
      </c>
      <c r="I67" s="9">
        <v>0</v>
      </c>
      <c r="J67" s="824"/>
      <c r="K67" s="824"/>
    </row>
    <row r="68" spans="1:11" s="2" customFormat="1" ht="18.75" customHeight="1">
      <c r="A68" s="753"/>
      <c r="B68" s="820"/>
      <c r="C68" s="755"/>
      <c r="D68" s="314">
        <v>2018</v>
      </c>
      <c r="E68" s="8">
        <f t="shared" si="5"/>
        <v>0</v>
      </c>
      <c r="F68" s="8">
        <v>0</v>
      </c>
      <c r="G68" s="9">
        <v>0</v>
      </c>
      <c r="H68" s="9">
        <v>0</v>
      </c>
      <c r="I68" s="9">
        <v>0</v>
      </c>
      <c r="J68" s="824"/>
      <c r="K68" s="824"/>
    </row>
    <row r="69" spans="1:11" s="2" customFormat="1" ht="18.75" customHeight="1">
      <c r="A69" s="753"/>
      <c r="B69" s="820"/>
      <c r="C69" s="755"/>
      <c r="D69" s="314">
        <v>2019</v>
      </c>
      <c r="E69" s="8">
        <f t="shared" ref="E69:E87" si="8">SUM(F69:I69)</f>
        <v>0</v>
      </c>
      <c r="F69" s="8">
        <v>0</v>
      </c>
      <c r="G69" s="9">
        <v>0</v>
      </c>
      <c r="H69" s="9">
        <v>0</v>
      </c>
      <c r="I69" s="9">
        <v>0</v>
      </c>
      <c r="J69" s="824"/>
      <c r="K69" s="824"/>
    </row>
    <row r="70" spans="1:11" s="2" customFormat="1" ht="18.75" customHeight="1">
      <c r="A70" s="753"/>
      <c r="B70" s="820"/>
      <c r="C70" s="755"/>
      <c r="D70" s="314">
        <v>2020</v>
      </c>
      <c r="E70" s="8">
        <f>SUM(F70:I70)</f>
        <v>0</v>
      </c>
      <c r="F70" s="8">
        <v>0</v>
      </c>
      <c r="G70" s="9">
        <v>0</v>
      </c>
      <c r="H70" s="9">
        <v>0</v>
      </c>
      <c r="I70" s="9">
        <v>0</v>
      </c>
      <c r="J70" s="824"/>
      <c r="K70" s="824"/>
    </row>
    <row r="71" spans="1:11" s="2" customFormat="1" ht="15" customHeight="1">
      <c r="A71" s="753" t="s">
        <v>192</v>
      </c>
      <c r="B71" s="820" t="s">
        <v>38</v>
      </c>
      <c r="C71" s="755">
        <v>2016</v>
      </c>
      <c r="D71" s="314" t="s">
        <v>8</v>
      </c>
      <c r="E71" s="8">
        <f t="shared" si="8"/>
        <v>3740.7</v>
      </c>
      <c r="F71" s="8">
        <f>SUM(F72:F76)</f>
        <v>2781.2</v>
      </c>
      <c r="G71" s="8">
        <f>SUM(G72:G76)</f>
        <v>959.5</v>
      </c>
      <c r="H71" s="8">
        <f>SUM(H72:H76)</f>
        <v>0</v>
      </c>
      <c r="I71" s="8">
        <f>SUM(I72:I76)</f>
        <v>0</v>
      </c>
      <c r="J71" s="824" t="s">
        <v>193</v>
      </c>
      <c r="K71" s="822" t="s">
        <v>39</v>
      </c>
    </row>
    <row r="72" spans="1:11" s="2" customFormat="1" ht="15" customHeight="1">
      <c r="A72" s="753"/>
      <c r="B72" s="820"/>
      <c r="C72" s="755"/>
      <c r="D72" s="314">
        <v>2016</v>
      </c>
      <c r="E72" s="8">
        <f t="shared" si="8"/>
        <v>3740.7</v>
      </c>
      <c r="F72" s="8">
        <v>2781.2</v>
      </c>
      <c r="G72" s="9">
        <v>959.5</v>
      </c>
      <c r="H72" s="9">
        <v>0</v>
      </c>
      <c r="I72" s="9">
        <v>0</v>
      </c>
      <c r="J72" s="824"/>
      <c r="K72" s="822"/>
    </row>
    <row r="73" spans="1:11" s="2" customFormat="1" ht="15" customHeight="1">
      <c r="A73" s="753"/>
      <c r="B73" s="820"/>
      <c r="C73" s="755"/>
      <c r="D73" s="314">
        <v>2017</v>
      </c>
      <c r="E73" s="8">
        <f t="shared" si="8"/>
        <v>0</v>
      </c>
      <c r="F73" s="8">
        <v>0</v>
      </c>
      <c r="G73" s="9">
        <v>0</v>
      </c>
      <c r="H73" s="9">
        <v>0</v>
      </c>
      <c r="I73" s="9">
        <v>0</v>
      </c>
      <c r="J73" s="824"/>
      <c r="K73" s="822"/>
    </row>
    <row r="74" spans="1:11" s="2" customFormat="1" ht="15" customHeight="1">
      <c r="A74" s="753"/>
      <c r="B74" s="820"/>
      <c r="C74" s="755"/>
      <c r="D74" s="314">
        <v>2018</v>
      </c>
      <c r="E74" s="8">
        <f t="shared" si="8"/>
        <v>0</v>
      </c>
      <c r="F74" s="8">
        <v>0</v>
      </c>
      <c r="G74" s="9">
        <v>0</v>
      </c>
      <c r="H74" s="9">
        <v>0</v>
      </c>
      <c r="I74" s="9">
        <v>0</v>
      </c>
      <c r="J74" s="824"/>
      <c r="K74" s="822"/>
    </row>
    <row r="75" spans="1:11" s="2" customFormat="1" ht="15" customHeight="1">
      <c r="A75" s="753"/>
      <c r="B75" s="820"/>
      <c r="C75" s="755"/>
      <c r="D75" s="314">
        <v>2019</v>
      </c>
      <c r="E75" s="8">
        <f t="shared" si="8"/>
        <v>0</v>
      </c>
      <c r="F75" s="8">
        <v>0</v>
      </c>
      <c r="G75" s="9">
        <v>0</v>
      </c>
      <c r="H75" s="9">
        <v>0</v>
      </c>
      <c r="I75" s="9">
        <v>0</v>
      </c>
      <c r="J75" s="824"/>
      <c r="K75" s="822"/>
    </row>
    <row r="76" spans="1:11" s="2" customFormat="1" ht="15" customHeight="1">
      <c r="A76" s="753"/>
      <c r="B76" s="820"/>
      <c r="C76" s="755"/>
      <c r="D76" s="314">
        <v>2020</v>
      </c>
      <c r="E76" s="8">
        <f t="shared" si="8"/>
        <v>0</v>
      </c>
      <c r="F76" s="8">
        <v>0</v>
      </c>
      <c r="G76" s="9">
        <v>0</v>
      </c>
      <c r="H76" s="9">
        <v>0</v>
      </c>
      <c r="I76" s="9">
        <v>0</v>
      </c>
      <c r="J76" s="824"/>
      <c r="K76" s="822"/>
    </row>
    <row r="77" spans="1:11" s="2" customFormat="1" ht="18.75" customHeight="1">
      <c r="A77" s="753" t="s">
        <v>194</v>
      </c>
      <c r="B77" s="820" t="s">
        <v>22</v>
      </c>
      <c r="C77" s="755" t="s">
        <v>195</v>
      </c>
      <c r="D77" s="314" t="s">
        <v>8</v>
      </c>
      <c r="E77" s="8">
        <f t="shared" si="8"/>
        <v>36609.9</v>
      </c>
      <c r="F77" s="8">
        <f>SUM(F78:F82)</f>
        <v>36609.9</v>
      </c>
      <c r="G77" s="8">
        <f>SUM(G78:G82)</f>
        <v>0</v>
      </c>
      <c r="H77" s="8">
        <f>SUM(H78:H82)</f>
        <v>0</v>
      </c>
      <c r="I77" s="8">
        <f>SUM(I78:I82)</f>
        <v>0</v>
      </c>
      <c r="J77" s="824" t="s">
        <v>278</v>
      </c>
      <c r="K77" s="822" t="s">
        <v>23</v>
      </c>
    </row>
    <row r="78" spans="1:11" s="2" customFormat="1" ht="18.75" customHeight="1">
      <c r="A78" s="753"/>
      <c r="B78" s="820"/>
      <c r="C78" s="755"/>
      <c r="D78" s="314">
        <v>2016</v>
      </c>
      <c r="E78" s="8">
        <f t="shared" si="8"/>
        <v>0</v>
      </c>
      <c r="F78" s="8">
        <v>0</v>
      </c>
      <c r="G78" s="9">
        <v>0</v>
      </c>
      <c r="H78" s="9">
        <v>0</v>
      </c>
      <c r="I78" s="9">
        <v>0</v>
      </c>
      <c r="J78" s="824"/>
      <c r="K78" s="822"/>
    </row>
    <row r="79" spans="1:11" s="2" customFormat="1" ht="18.75" customHeight="1">
      <c r="A79" s="753"/>
      <c r="B79" s="820"/>
      <c r="C79" s="755"/>
      <c r="D79" s="314">
        <v>2017</v>
      </c>
      <c r="E79" s="8">
        <f t="shared" si="8"/>
        <v>1691.2</v>
      </c>
      <c r="F79" s="8">
        <v>1691.2</v>
      </c>
      <c r="G79" s="9">
        <v>0</v>
      </c>
      <c r="H79" s="9">
        <v>0</v>
      </c>
      <c r="I79" s="9">
        <v>0</v>
      </c>
      <c r="J79" s="824"/>
      <c r="K79" s="822"/>
    </row>
    <row r="80" spans="1:11" s="2" customFormat="1" ht="18.75" customHeight="1">
      <c r="A80" s="753"/>
      <c r="B80" s="820"/>
      <c r="C80" s="755"/>
      <c r="D80" s="314">
        <v>2018</v>
      </c>
      <c r="E80" s="8">
        <f t="shared" si="8"/>
        <v>11318.4</v>
      </c>
      <c r="F80" s="8">
        <v>11318.4</v>
      </c>
      <c r="G80" s="9">
        <v>0</v>
      </c>
      <c r="H80" s="9">
        <v>0</v>
      </c>
      <c r="I80" s="9">
        <v>0</v>
      </c>
      <c r="J80" s="824"/>
      <c r="K80" s="822"/>
    </row>
    <row r="81" spans="1:11" s="2" customFormat="1" ht="18.75" customHeight="1">
      <c r="A81" s="753"/>
      <c r="B81" s="820"/>
      <c r="C81" s="755"/>
      <c r="D81" s="314">
        <v>2019</v>
      </c>
      <c r="E81" s="8">
        <f t="shared" si="8"/>
        <v>11635.7</v>
      </c>
      <c r="F81" s="8">
        <v>11635.7</v>
      </c>
      <c r="G81" s="9">
        <v>0</v>
      </c>
      <c r="H81" s="9">
        <v>0</v>
      </c>
      <c r="I81" s="9">
        <v>0</v>
      </c>
      <c r="J81" s="824"/>
      <c r="K81" s="822"/>
    </row>
    <row r="82" spans="1:11" s="2" customFormat="1" ht="18.75" customHeight="1">
      <c r="A82" s="753"/>
      <c r="B82" s="820"/>
      <c r="C82" s="755"/>
      <c r="D82" s="314">
        <v>2020</v>
      </c>
      <c r="E82" s="8">
        <f t="shared" si="8"/>
        <v>11964.6</v>
      </c>
      <c r="F82" s="8">
        <v>11964.6</v>
      </c>
      <c r="G82" s="9">
        <v>0</v>
      </c>
      <c r="H82" s="9">
        <v>0</v>
      </c>
      <c r="I82" s="9">
        <v>0</v>
      </c>
      <c r="J82" s="824"/>
      <c r="K82" s="822"/>
    </row>
    <row r="83" spans="1:11" s="2" customFormat="1" ht="15" customHeight="1">
      <c r="A83" s="753" t="s">
        <v>40</v>
      </c>
      <c r="B83" s="824" t="s">
        <v>41</v>
      </c>
      <c r="C83" s="755" t="s">
        <v>14</v>
      </c>
      <c r="D83" s="314" t="s">
        <v>8</v>
      </c>
      <c r="E83" s="8">
        <f t="shared" si="8"/>
        <v>2477119.9</v>
      </c>
      <c r="F83" s="8">
        <f>SUM(F84:F88)</f>
        <v>2447543.6</v>
      </c>
      <c r="G83" s="8">
        <f>SUM(G84:G88)</f>
        <v>29576.3</v>
      </c>
      <c r="H83" s="8">
        <f>SUM(H84:H88)</f>
        <v>0</v>
      </c>
      <c r="I83" s="8">
        <f>SUM(I84:I88)</f>
        <v>0</v>
      </c>
      <c r="J83" s="824"/>
      <c r="K83" s="822" t="s">
        <v>42</v>
      </c>
    </row>
    <row r="84" spans="1:11" s="2" customFormat="1">
      <c r="A84" s="753"/>
      <c r="B84" s="824"/>
      <c r="C84" s="755"/>
      <c r="D84" s="314">
        <v>2016</v>
      </c>
      <c r="E84" s="8">
        <f t="shared" si="8"/>
        <v>385423.4</v>
      </c>
      <c r="F84" s="8">
        <f t="shared" ref="F84:I88" si="9">F90+F156+F186</f>
        <v>379215.5</v>
      </c>
      <c r="G84" s="8">
        <f t="shared" si="9"/>
        <v>6207.9</v>
      </c>
      <c r="H84" s="8">
        <f t="shared" si="9"/>
        <v>0</v>
      </c>
      <c r="I84" s="8">
        <f t="shared" si="9"/>
        <v>0</v>
      </c>
      <c r="J84" s="824"/>
      <c r="K84" s="822"/>
    </row>
    <row r="85" spans="1:11">
      <c r="A85" s="753"/>
      <c r="B85" s="824"/>
      <c r="C85" s="755"/>
      <c r="D85" s="314">
        <v>2017</v>
      </c>
      <c r="E85" s="8">
        <f t="shared" si="8"/>
        <v>456261.4</v>
      </c>
      <c r="F85" s="8">
        <f t="shared" si="9"/>
        <v>448205.9</v>
      </c>
      <c r="G85" s="8">
        <f t="shared" si="9"/>
        <v>8055.5</v>
      </c>
      <c r="H85" s="8">
        <f t="shared" si="9"/>
        <v>0</v>
      </c>
      <c r="I85" s="8">
        <f t="shared" si="9"/>
        <v>0</v>
      </c>
      <c r="J85" s="824"/>
      <c r="K85" s="822"/>
    </row>
    <row r="86" spans="1:11">
      <c r="A86" s="753"/>
      <c r="B86" s="824"/>
      <c r="C86" s="755"/>
      <c r="D86" s="314">
        <v>2018</v>
      </c>
      <c r="E86" s="8">
        <f t="shared" si="8"/>
        <v>568818.10000000009</v>
      </c>
      <c r="F86" s="8">
        <f t="shared" si="9"/>
        <v>553505.20000000007</v>
      </c>
      <c r="G86" s="8">
        <f t="shared" si="9"/>
        <v>15312.9</v>
      </c>
      <c r="H86" s="8">
        <f t="shared" si="9"/>
        <v>0</v>
      </c>
      <c r="I86" s="8">
        <f t="shared" si="9"/>
        <v>0</v>
      </c>
      <c r="J86" s="824"/>
      <c r="K86" s="822"/>
    </row>
    <row r="87" spans="1:11">
      <c r="A87" s="753"/>
      <c r="B87" s="824"/>
      <c r="C87" s="755"/>
      <c r="D87" s="314">
        <v>2019</v>
      </c>
      <c r="E87" s="8">
        <f t="shared" si="8"/>
        <v>527685.5</v>
      </c>
      <c r="F87" s="8">
        <f t="shared" si="9"/>
        <v>527685.5</v>
      </c>
      <c r="G87" s="8">
        <f t="shared" si="9"/>
        <v>0</v>
      </c>
      <c r="H87" s="8">
        <f t="shared" si="9"/>
        <v>0</v>
      </c>
      <c r="I87" s="8">
        <f t="shared" si="9"/>
        <v>0</v>
      </c>
      <c r="J87" s="824"/>
      <c r="K87" s="822"/>
    </row>
    <row r="88" spans="1:11">
      <c r="A88" s="753"/>
      <c r="B88" s="824"/>
      <c r="C88" s="755"/>
      <c r="D88" s="314">
        <v>2020</v>
      </c>
      <c r="E88" s="8">
        <f>SUM(F88:I88)</f>
        <v>538931.5</v>
      </c>
      <c r="F88" s="8">
        <f t="shared" si="9"/>
        <v>538931.5</v>
      </c>
      <c r="G88" s="8">
        <f t="shared" si="9"/>
        <v>0</v>
      </c>
      <c r="H88" s="8">
        <f t="shared" si="9"/>
        <v>0</v>
      </c>
      <c r="I88" s="8">
        <f t="shared" si="9"/>
        <v>0</v>
      </c>
      <c r="J88" s="824"/>
      <c r="K88" s="822"/>
    </row>
    <row r="89" spans="1:11" ht="13.5" customHeight="1">
      <c r="A89" s="753" t="s">
        <v>175</v>
      </c>
      <c r="B89" s="820" t="s">
        <v>44</v>
      </c>
      <c r="C89" s="755" t="s">
        <v>14</v>
      </c>
      <c r="D89" s="314" t="s">
        <v>8</v>
      </c>
      <c r="E89" s="8">
        <f t="shared" ref="E89:I94" si="10">SUM(E95+E101,E107,E113,E119,E125,E131,E137,E143,E149)</f>
        <v>521748.1</v>
      </c>
      <c r="F89" s="8">
        <f t="shared" si="10"/>
        <v>521748.1</v>
      </c>
      <c r="G89" s="8">
        <f t="shared" si="10"/>
        <v>0</v>
      </c>
      <c r="H89" s="8">
        <f t="shared" si="10"/>
        <v>0</v>
      </c>
      <c r="I89" s="8">
        <f t="shared" si="10"/>
        <v>0</v>
      </c>
      <c r="J89" s="824" t="s">
        <v>45</v>
      </c>
      <c r="K89" s="822" t="s">
        <v>18</v>
      </c>
    </row>
    <row r="90" spans="1:11" ht="13.5" customHeight="1">
      <c r="A90" s="753"/>
      <c r="B90" s="820"/>
      <c r="C90" s="755"/>
      <c r="D90" s="314">
        <v>2016</v>
      </c>
      <c r="E90" s="8">
        <f t="shared" si="10"/>
        <v>86400.5</v>
      </c>
      <c r="F90" s="8">
        <f t="shared" si="10"/>
        <v>86400.5</v>
      </c>
      <c r="G90" s="8">
        <f t="shared" si="10"/>
        <v>0</v>
      </c>
      <c r="H90" s="8">
        <f t="shared" si="10"/>
        <v>0</v>
      </c>
      <c r="I90" s="8">
        <f t="shared" si="10"/>
        <v>0</v>
      </c>
      <c r="J90" s="824"/>
      <c r="K90" s="822"/>
    </row>
    <row r="91" spans="1:11" ht="13.5" customHeight="1">
      <c r="A91" s="753"/>
      <c r="B91" s="820"/>
      <c r="C91" s="755"/>
      <c r="D91" s="314">
        <v>2017</v>
      </c>
      <c r="E91" s="8">
        <f t="shared" si="10"/>
        <v>84336.700000000012</v>
      </c>
      <c r="F91" s="8">
        <f t="shared" si="10"/>
        <v>84336.700000000012</v>
      </c>
      <c r="G91" s="8">
        <f t="shared" si="10"/>
        <v>0</v>
      </c>
      <c r="H91" s="8">
        <f t="shared" si="10"/>
        <v>0</v>
      </c>
      <c r="I91" s="8">
        <f t="shared" si="10"/>
        <v>0</v>
      </c>
      <c r="J91" s="824"/>
      <c r="K91" s="822"/>
    </row>
    <row r="92" spans="1:11" ht="13.5" customHeight="1">
      <c r="A92" s="753"/>
      <c r="B92" s="820"/>
      <c r="C92" s="755"/>
      <c r="D92" s="314">
        <v>2018</v>
      </c>
      <c r="E92" s="8">
        <f t="shared" si="10"/>
        <v>116068.30000000002</v>
      </c>
      <c r="F92" s="8">
        <f t="shared" si="10"/>
        <v>116068.30000000002</v>
      </c>
      <c r="G92" s="8">
        <f t="shared" si="10"/>
        <v>0</v>
      </c>
      <c r="H92" s="8">
        <f t="shared" si="10"/>
        <v>0</v>
      </c>
      <c r="I92" s="8">
        <f t="shared" si="10"/>
        <v>0</v>
      </c>
      <c r="J92" s="824"/>
      <c r="K92" s="822"/>
    </row>
    <row r="93" spans="1:11" ht="13.5" customHeight="1">
      <c r="A93" s="753"/>
      <c r="B93" s="820"/>
      <c r="C93" s="755"/>
      <c r="D93" s="314">
        <v>2019</v>
      </c>
      <c r="E93" s="8">
        <f t="shared" si="10"/>
        <v>116993.60000000002</v>
      </c>
      <c r="F93" s="8">
        <f t="shared" si="10"/>
        <v>116993.60000000002</v>
      </c>
      <c r="G93" s="8">
        <f t="shared" si="10"/>
        <v>0</v>
      </c>
      <c r="H93" s="8">
        <f t="shared" si="10"/>
        <v>0</v>
      </c>
      <c r="I93" s="8">
        <f t="shared" si="10"/>
        <v>0</v>
      </c>
      <c r="J93" s="824"/>
      <c r="K93" s="822"/>
    </row>
    <row r="94" spans="1:11" ht="13.5" customHeight="1">
      <c r="A94" s="753"/>
      <c r="B94" s="820"/>
      <c r="C94" s="755"/>
      <c r="D94" s="314">
        <v>2020</v>
      </c>
      <c r="E94" s="8">
        <f t="shared" si="10"/>
        <v>117949.00000000001</v>
      </c>
      <c r="F94" s="8">
        <f t="shared" si="10"/>
        <v>117949.00000000001</v>
      </c>
      <c r="G94" s="8">
        <f t="shared" si="10"/>
        <v>0</v>
      </c>
      <c r="H94" s="8">
        <f t="shared" si="10"/>
        <v>0</v>
      </c>
      <c r="I94" s="8">
        <f>SUM(I100+I106,I112,I118,I124,I130,I136,I142,I148,I154)</f>
        <v>0</v>
      </c>
      <c r="J94" s="824"/>
      <c r="K94" s="822"/>
    </row>
    <row r="95" spans="1:11" s="2" customFormat="1" ht="24.95" customHeight="1">
      <c r="A95" s="762" t="s">
        <v>43</v>
      </c>
      <c r="B95" s="825" t="s">
        <v>22</v>
      </c>
      <c r="C95" s="755" t="s">
        <v>14</v>
      </c>
      <c r="D95" s="314" t="s">
        <v>8</v>
      </c>
      <c r="E95" s="8">
        <f t="shared" ref="E95:E105" si="11">SUM(F95:I95)</f>
        <v>322767.3</v>
      </c>
      <c r="F95" s="8">
        <f>SUM(F96:F100)</f>
        <v>322767.3</v>
      </c>
      <c r="G95" s="8">
        <f>SUM(G96:G100)</f>
        <v>0</v>
      </c>
      <c r="H95" s="8">
        <f>SUM(H96:H100)</f>
        <v>0</v>
      </c>
      <c r="I95" s="8">
        <f>SUM(I96:I100)</f>
        <v>0</v>
      </c>
      <c r="J95" s="824" t="s">
        <v>279</v>
      </c>
      <c r="K95" s="826" t="s">
        <v>443</v>
      </c>
    </row>
    <row r="96" spans="1:11" s="2" customFormat="1" ht="24.95" customHeight="1">
      <c r="A96" s="762"/>
      <c r="B96" s="825"/>
      <c r="C96" s="755"/>
      <c r="D96" s="314">
        <v>2016</v>
      </c>
      <c r="E96" s="8">
        <f t="shared" si="11"/>
        <v>50941.599999999999</v>
      </c>
      <c r="F96" s="9">
        <v>50941.599999999999</v>
      </c>
      <c r="G96" s="9">
        <f>[6]План!G128+[6]План!G136+[6]План!G176</f>
        <v>0</v>
      </c>
      <c r="H96" s="9">
        <f>[6]План!H128+[6]План!H136+[6]План!H176</f>
        <v>0</v>
      </c>
      <c r="I96" s="9">
        <f>[6]План!I128+[6]План!I136+[6]План!I176</f>
        <v>0</v>
      </c>
      <c r="J96" s="824"/>
      <c r="K96" s="826"/>
    </row>
    <row r="97" spans="1:11" s="2" customFormat="1" ht="24.95" customHeight="1">
      <c r="A97" s="762"/>
      <c r="B97" s="825"/>
      <c r="C97" s="755"/>
      <c r="D97" s="314">
        <v>2017</v>
      </c>
      <c r="E97" s="8">
        <f t="shared" si="11"/>
        <v>48074.7</v>
      </c>
      <c r="F97" s="9">
        <v>48074.7</v>
      </c>
      <c r="G97" s="9">
        <f>[6]План!G129+[6]План!G137+[6]План!G177</f>
        <v>0</v>
      </c>
      <c r="H97" s="9">
        <f>[6]План!H129+[6]План!H137+[6]План!H177</f>
        <v>0</v>
      </c>
      <c r="I97" s="9">
        <f>[6]План!I129+[6]План!I137+[6]План!I177</f>
        <v>0</v>
      </c>
      <c r="J97" s="824"/>
      <c r="K97" s="826"/>
    </row>
    <row r="98" spans="1:11" s="2" customFormat="1" ht="24.95" customHeight="1">
      <c r="A98" s="762"/>
      <c r="B98" s="825"/>
      <c r="C98" s="755"/>
      <c r="D98" s="314">
        <v>2018</v>
      </c>
      <c r="E98" s="8">
        <f t="shared" si="11"/>
        <v>73925</v>
      </c>
      <c r="F98" s="9">
        <v>73925</v>
      </c>
      <c r="G98" s="9">
        <f>[6]План!G130+[6]План!G138+[6]План!G178</f>
        <v>0</v>
      </c>
      <c r="H98" s="9">
        <f>[6]План!H130+[6]План!H138+[6]План!H178</f>
        <v>0</v>
      </c>
      <c r="I98" s="9">
        <f>[6]План!I130+[6]План!I138+[6]План!I178</f>
        <v>0</v>
      </c>
      <c r="J98" s="824"/>
      <c r="K98" s="826"/>
    </row>
    <row r="99" spans="1:11" s="2" customFormat="1" ht="24.95" customHeight="1">
      <c r="A99" s="762"/>
      <c r="B99" s="825"/>
      <c r="C99" s="755"/>
      <c r="D99" s="314">
        <v>2019</v>
      </c>
      <c r="E99" s="8">
        <f t="shared" si="11"/>
        <v>74435.3</v>
      </c>
      <c r="F99" s="9">
        <v>74435.3</v>
      </c>
      <c r="G99" s="9">
        <f>[6]План!G131+[6]План!G139+[6]План!G179</f>
        <v>0</v>
      </c>
      <c r="H99" s="9">
        <f>[6]План!H131+[6]План!H139+[6]План!H179</f>
        <v>0</v>
      </c>
      <c r="I99" s="9">
        <f>[6]План!I131+[6]План!I139+[6]План!I179</f>
        <v>0</v>
      </c>
      <c r="J99" s="824"/>
      <c r="K99" s="826"/>
    </row>
    <row r="100" spans="1:11" s="2" customFormat="1" ht="24.95" customHeight="1">
      <c r="A100" s="762"/>
      <c r="B100" s="825"/>
      <c r="C100" s="755"/>
      <c r="D100" s="314">
        <v>2020</v>
      </c>
      <c r="E100" s="8">
        <f>SUM(F100:I100)</f>
        <v>75390.7</v>
      </c>
      <c r="F100" s="9">
        <v>75390.7</v>
      </c>
      <c r="G100" s="9">
        <f>[6]План!G132+[6]План!G140+[6]План!G180</f>
        <v>0</v>
      </c>
      <c r="H100" s="9">
        <f>[6]План!H132+[6]План!H140+[6]План!H180</f>
        <v>0</v>
      </c>
      <c r="I100" s="9">
        <f>[6]План!I132+[6]План!I140+[6]План!I180</f>
        <v>0</v>
      </c>
      <c r="J100" s="824"/>
      <c r="K100" s="826"/>
    </row>
    <row r="101" spans="1:11" s="2" customFormat="1" ht="15" customHeight="1">
      <c r="A101" s="753" t="s">
        <v>197</v>
      </c>
      <c r="B101" s="820" t="s">
        <v>48</v>
      </c>
      <c r="C101" s="755" t="s">
        <v>14</v>
      </c>
      <c r="D101" s="314" t="s">
        <v>8</v>
      </c>
      <c r="E101" s="8">
        <f t="shared" si="11"/>
        <v>67298.399999999994</v>
      </c>
      <c r="F101" s="8">
        <f>SUM(F102:F106)</f>
        <v>67298.399999999994</v>
      </c>
      <c r="G101" s="8">
        <f>SUM(G102:G106)</f>
        <v>0</v>
      </c>
      <c r="H101" s="8">
        <f>SUM(H102:H106)</f>
        <v>0</v>
      </c>
      <c r="I101" s="8">
        <f>SUM(I102:I106)</f>
        <v>0</v>
      </c>
      <c r="J101" s="824" t="s">
        <v>49</v>
      </c>
      <c r="K101" s="822" t="s">
        <v>280</v>
      </c>
    </row>
    <row r="102" spans="1:11" s="2" customFormat="1">
      <c r="A102" s="753"/>
      <c r="B102" s="820"/>
      <c r="C102" s="755"/>
      <c r="D102" s="314">
        <v>2016</v>
      </c>
      <c r="E102" s="8">
        <f t="shared" si="11"/>
        <v>12699.3</v>
      </c>
      <c r="F102" s="8">
        <v>12699.3</v>
      </c>
      <c r="G102" s="9">
        <v>0</v>
      </c>
      <c r="H102" s="9">
        <v>0</v>
      </c>
      <c r="I102" s="9">
        <v>0</v>
      </c>
      <c r="J102" s="824"/>
      <c r="K102" s="822"/>
    </row>
    <row r="103" spans="1:11" s="2" customFormat="1">
      <c r="A103" s="753"/>
      <c r="B103" s="820"/>
      <c r="C103" s="755"/>
      <c r="D103" s="314">
        <v>2017</v>
      </c>
      <c r="E103" s="8">
        <f t="shared" si="11"/>
        <v>12699.3</v>
      </c>
      <c r="F103" s="8">
        <v>12699.3</v>
      </c>
      <c r="G103" s="9">
        <v>0</v>
      </c>
      <c r="H103" s="9">
        <v>0</v>
      </c>
      <c r="I103" s="9">
        <v>0</v>
      </c>
      <c r="J103" s="824"/>
      <c r="K103" s="822"/>
    </row>
    <row r="104" spans="1:11" s="2" customFormat="1">
      <c r="A104" s="753"/>
      <c r="B104" s="820"/>
      <c r="C104" s="755"/>
      <c r="D104" s="314">
        <v>2018</v>
      </c>
      <c r="E104" s="8">
        <f t="shared" si="11"/>
        <v>13966.6</v>
      </c>
      <c r="F104" s="8">
        <v>13966.6</v>
      </c>
      <c r="G104" s="9">
        <v>0</v>
      </c>
      <c r="H104" s="9">
        <v>0</v>
      </c>
      <c r="I104" s="9">
        <v>0</v>
      </c>
      <c r="J104" s="824"/>
      <c r="K104" s="822"/>
    </row>
    <row r="105" spans="1:11" s="2" customFormat="1">
      <c r="A105" s="753"/>
      <c r="B105" s="820"/>
      <c r="C105" s="755"/>
      <c r="D105" s="314">
        <v>2019</v>
      </c>
      <c r="E105" s="8">
        <f t="shared" si="11"/>
        <v>13966.6</v>
      </c>
      <c r="F105" s="8">
        <v>13966.6</v>
      </c>
      <c r="G105" s="9">
        <v>0</v>
      </c>
      <c r="H105" s="9">
        <v>0</v>
      </c>
      <c r="I105" s="9">
        <v>0</v>
      </c>
      <c r="J105" s="824"/>
      <c r="K105" s="822"/>
    </row>
    <row r="106" spans="1:11" s="2" customFormat="1">
      <c r="A106" s="753"/>
      <c r="B106" s="820"/>
      <c r="C106" s="755"/>
      <c r="D106" s="314">
        <v>2020</v>
      </c>
      <c r="E106" s="8">
        <f t="shared" ref="E106:E112" si="12">SUM(F106:I106)</f>
        <v>13966.6</v>
      </c>
      <c r="F106" s="8">
        <v>13966.6</v>
      </c>
      <c r="G106" s="9">
        <v>0</v>
      </c>
      <c r="H106" s="9">
        <v>0</v>
      </c>
      <c r="I106" s="9">
        <v>0</v>
      </c>
      <c r="J106" s="824"/>
      <c r="K106" s="822"/>
    </row>
    <row r="107" spans="1:11" s="2" customFormat="1" ht="13.5" customHeight="1">
      <c r="A107" s="753" t="s">
        <v>198</v>
      </c>
      <c r="B107" s="825" t="s">
        <v>50</v>
      </c>
      <c r="C107" s="755" t="s">
        <v>14</v>
      </c>
      <c r="D107" s="314" t="s">
        <v>8</v>
      </c>
      <c r="E107" s="8">
        <f t="shared" si="12"/>
        <v>2665.5</v>
      </c>
      <c r="F107" s="8">
        <f>SUM(F108:F112)</f>
        <v>2665.5</v>
      </c>
      <c r="G107" s="8">
        <f>SUM(G108:G112)</f>
        <v>0</v>
      </c>
      <c r="H107" s="8">
        <f>SUM(H108:H112)</f>
        <v>0</v>
      </c>
      <c r="I107" s="8">
        <f>SUM(I108:I112)</f>
        <v>0</v>
      </c>
      <c r="J107" s="824" t="s">
        <v>51</v>
      </c>
      <c r="K107" s="822" t="s">
        <v>26</v>
      </c>
    </row>
    <row r="108" spans="1:11" s="2" customFormat="1" ht="13.5" customHeight="1">
      <c r="A108" s="753"/>
      <c r="B108" s="825"/>
      <c r="C108" s="755"/>
      <c r="D108" s="314">
        <v>2016</v>
      </c>
      <c r="E108" s="8">
        <f t="shared" si="12"/>
        <v>533.1</v>
      </c>
      <c r="F108" s="9">
        <v>533.1</v>
      </c>
      <c r="G108" s="9">
        <v>0</v>
      </c>
      <c r="H108" s="9">
        <v>0</v>
      </c>
      <c r="I108" s="9">
        <v>0</v>
      </c>
      <c r="J108" s="824"/>
      <c r="K108" s="822"/>
    </row>
    <row r="109" spans="1:11" s="2" customFormat="1" ht="13.5" customHeight="1">
      <c r="A109" s="753"/>
      <c r="B109" s="825"/>
      <c r="C109" s="755"/>
      <c r="D109" s="314">
        <v>2017</v>
      </c>
      <c r="E109" s="8">
        <f t="shared" si="12"/>
        <v>533.1</v>
      </c>
      <c r="F109" s="9">
        <v>533.1</v>
      </c>
      <c r="G109" s="9">
        <v>0</v>
      </c>
      <c r="H109" s="9">
        <v>0</v>
      </c>
      <c r="I109" s="9">
        <v>0</v>
      </c>
      <c r="J109" s="824"/>
      <c r="K109" s="822"/>
    </row>
    <row r="110" spans="1:11" s="2" customFormat="1" ht="13.5" customHeight="1">
      <c r="A110" s="753"/>
      <c r="B110" s="825"/>
      <c r="C110" s="755"/>
      <c r="D110" s="314">
        <v>2018</v>
      </c>
      <c r="E110" s="8">
        <f t="shared" si="12"/>
        <v>533.1</v>
      </c>
      <c r="F110" s="9">
        <v>533.1</v>
      </c>
      <c r="G110" s="9">
        <v>0</v>
      </c>
      <c r="H110" s="9">
        <v>0</v>
      </c>
      <c r="I110" s="9">
        <v>0</v>
      </c>
      <c r="J110" s="824"/>
      <c r="K110" s="822"/>
    </row>
    <row r="111" spans="1:11" s="2" customFormat="1" ht="13.5" customHeight="1">
      <c r="A111" s="753"/>
      <c r="B111" s="825"/>
      <c r="C111" s="755"/>
      <c r="D111" s="314">
        <v>2019</v>
      </c>
      <c r="E111" s="8">
        <f t="shared" si="12"/>
        <v>533.1</v>
      </c>
      <c r="F111" s="9">
        <v>533.1</v>
      </c>
      <c r="G111" s="9">
        <v>0</v>
      </c>
      <c r="H111" s="9">
        <v>0</v>
      </c>
      <c r="I111" s="9">
        <v>0</v>
      </c>
      <c r="J111" s="824"/>
      <c r="K111" s="822"/>
    </row>
    <row r="112" spans="1:11" s="2" customFormat="1" ht="13.5" customHeight="1">
      <c r="A112" s="753"/>
      <c r="B112" s="825"/>
      <c r="C112" s="755"/>
      <c r="D112" s="314">
        <v>2020</v>
      </c>
      <c r="E112" s="8">
        <f t="shared" si="12"/>
        <v>533.1</v>
      </c>
      <c r="F112" s="9">
        <v>533.1</v>
      </c>
      <c r="G112" s="9">
        <v>0</v>
      </c>
      <c r="H112" s="9">
        <v>0</v>
      </c>
      <c r="I112" s="9">
        <v>0</v>
      </c>
      <c r="J112" s="824"/>
      <c r="K112" s="822"/>
    </row>
    <row r="113" spans="1:11" s="2" customFormat="1" ht="15" customHeight="1">
      <c r="A113" s="753" t="s">
        <v>199</v>
      </c>
      <c r="B113" s="825" t="s">
        <v>52</v>
      </c>
      <c r="C113" s="755" t="s">
        <v>14</v>
      </c>
      <c r="D113" s="314" t="s">
        <v>199</v>
      </c>
      <c r="E113" s="8">
        <f t="shared" ref="E113:E118" si="13">SUM(F113:I113)</f>
        <v>150</v>
      </c>
      <c r="F113" s="8">
        <f>SUM(F114:F118)</f>
        <v>150</v>
      </c>
      <c r="G113" s="8">
        <f>SUM(G114:G118)</f>
        <v>0</v>
      </c>
      <c r="H113" s="8">
        <f>SUM(H114:H118)</f>
        <v>0</v>
      </c>
      <c r="I113" s="8">
        <f>SUM(I114:I118)</f>
        <v>0</v>
      </c>
      <c r="J113" s="824" t="s">
        <v>53</v>
      </c>
      <c r="K113" s="822" t="s">
        <v>26</v>
      </c>
    </row>
    <row r="114" spans="1:11" s="2" customFormat="1">
      <c r="A114" s="753"/>
      <c r="B114" s="825"/>
      <c r="C114" s="755"/>
      <c r="D114" s="314">
        <v>2016</v>
      </c>
      <c r="E114" s="8">
        <f t="shared" si="13"/>
        <v>30</v>
      </c>
      <c r="F114" s="8">
        <v>30</v>
      </c>
      <c r="G114" s="9">
        <v>0</v>
      </c>
      <c r="H114" s="9">
        <v>0</v>
      </c>
      <c r="I114" s="9">
        <v>0</v>
      </c>
      <c r="J114" s="824"/>
      <c r="K114" s="822"/>
    </row>
    <row r="115" spans="1:11" s="2" customFormat="1">
      <c r="A115" s="753"/>
      <c r="B115" s="825"/>
      <c r="C115" s="755"/>
      <c r="D115" s="314">
        <v>2017</v>
      </c>
      <c r="E115" s="8">
        <f t="shared" si="13"/>
        <v>30</v>
      </c>
      <c r="F115" s="8">
        <v>30</v>
      </c>
      <c r="G115" s="9">
        <v>0</v>
      </c>
      <c r="H115" s="9">
        <v>0</v>
      </c>
      <c r="I115" s="9">
        <v>0</v>
      </c>
      <c r="J115" s="824"/>
      <c r="K115" s="822"/>
    </row>
    <row r="116" spans="1:11" s="2" customFormat="1">
      <c r="A116" s="753"/>
      <c r="B116" s="825"/>
      <c r="C116" s="755"/>
      <c r="D116" s="314">
        <v>2018</v>
      </c>
      <c r="E116" s="8">
        <f t="shared" si="13"/>
        <v>30</v>
      </c>
      <c r="F116" s="8">
        <v>30</v>
      </c>
      <c r="G116" s="9">
        <v>0</v>
      </c>
      <c r="H116" s="9">
        <v>0</v>
      </c>
      <c r="I116" s="9">
        <v>0</v>
      </c>
      <c r="J116" s="824"/>
      <c r="K116" s="822"/>
    </row>
    <row r="117" spans="1:11" s="2" customFormat="1">
      <c r="A117" s="753"/>
      <c r="B117" s="825"/>
      <c r="C117" s="755"/>
      <c r="D117" s="314">
        <v>2019</v>
      </c>
      <c r="E117" s="8">
        <f t="shared" si="13"/>
        <v>30</v>
      </c>
      <c r="F117" s="8">
        <v>30</v>
      </c>
      <c r="G117" s="9">
        <v>0</v>
      </c>
      <c r="H117" s="9">
        <v>0</v>
      </c>
      <c r="I117" s="9">
        <v>0</v>
      </c>
      <c r="J117" s="824"/>
      <c r="K117" s="822"/>
    </row>
    <row r="118" spans="1:11" s="2" customFormat="1">
      <c r="A118" s="753"/>
      <c r="B118" s="825"/>
      <c r="C118" s="755"/>
      <c r="D118" s="314">
        <v>2020</v>
      </c>
      <c r="E118" s="8">
        <f t="shared" si="13"/>
        <v>30</v>
      </c>
      <c r="F118" s="8">
        <v>30</v>
      </c>
      <c r="G118" s="9">
        <v>0</v>
      </c>
      <c r="H118" s="9">
        <v>0</v>
      </c>
      <c r="I118" s="9">
        <v>0</v>
      </c>
      <c r="J118" s="824"/>
      <c r="K118" s="822"/>
    </row>
    <row r="119" spans="1:11" s="2" customFormat="1" ht="15" customHeight="1">
      <c r="A119" s="753" t="s">
        <v>200</v>
      </c>
      <c r="B119" s="820" t="s">
        <v>54</v>
      </c>
      <c r="C119" s="755">
        <v>2016</v>
      </c>
      <c r="D119" s="314" t="s">
        <v>8</v>
      </c>
      <c r="E119" s="8">
        <f t="shared" ref="E119:E132" si="14">SUM(F119:I119)</f>
        <v>200</v>
      </c>
      <c r="F119" s="8">
        <f>SUM(F120:F124)</f>
        <v>200</v>
      </c>
      <c r="G119" s="8">
        <f>SUM(G120:G124)</f>
        <v>0</v>
      </c>
      <c r="H119" s="8">
        <f>SUM(H120:H124)</f>
        <v>0</v>
      </c>
      <c r="I119" s="8">
        <f>SUM(I120:I124)</f>
        <v>0</v>
      </c>
      <c r="J119" s="824" t="s">
        <v>201</v>
      </c>
      <c r="K119" s="822" t="s">
        <v>26</v>
      </c>
    </row>
    <row r="120" spans="1:11" s="2" customFormat="1">
      <c r="A120" s="753"/>
      <c r="B120" s="820"/>
      <c r="C120" s="755"/>
      <c r="D120" s="314">
        <v>2016</v>
      </c>
      <c r="E120" s="8">
        <f t="shared" si="14"/>
        <v>200</v>
      </c>
      <c r="F120" s="8">
        <v>200</v>
      </c>
      <c r="G120" s="9">
        <v>0</v>
      </c>
      <c r="H120" s="9">
        <v>0</v>
      </c>
      <c r="I120" s="9">
        <v>0</v>
      </c>
      <c r="J120" s="824"/>
      <c r="K120" s="822"/>
    </row>
    <row r="121" spans="1:11" s="2" customFormat="1">
      <c r="A121" s="753"/>
      <c r="B121" s="820"/>
      <c r="C121" s="755"/>
      <c r="D121" s="314">
        <v>2017</v>
      </c>
      <c r="E121" s="8">
        <f t="shared" si="14"/>
        <v>0</v>
      </c>
      <c r="F121" s="8">
        <v>0</v>
      </c>
      <c r="G121" s="9">
        <v>0</v>
      </c>
      <c r="H121" s="9">
        <v>0</v>
      </c>
      <c r="I121" s="9">
        <v>0</v>
      </c>
      <c r="J121" s="824"/>
      <c r="K121" s="822"/>
    </row>
    <row r="122" spans="1:11" s="2" customFormat="1">
      <c r="A122" s="753"/>
      <c r="B122" s="820"/>
      <c r="C122" s="755"/>
      <c r="D122" s="314">
        <v>2018</v>
      </c>
      <c r="E122" s="8">
        <f t="shared" si="14"/>
        <v>0</v>
      </c>
      <c r="F122" s="8">
        <v>0</v>
      </c>
      <c r="G122" s="9">
        <v>0</v>
      </c>
      <c r="H122" s="9">
        <v>0</v>
      </c>
      <c r="I122" s="9">
        <v>0</v>
      </c>
      <c r="J122" s="824"/>
      <c r="K122" s="822"/>
    </row>
    <row r="123" spans="1:11" s="2" customFormat="1">
      <c r="A123" s="753"/>
      <c r="B123" s="820"/>
      <c r="C123" s="755"/>
      <c r="D123" s="314">
        <v>2019</v>
      </c>
      <c r="E123" s="8">
        <f t="shared" si="14"/>
        <v>0</v>
      </c>
      <c r="F123" s="8">
        <v>0</v>
      </c>
      <c r="G123" s="9">
        <v>0</v>
      </c>
      <c r="H123" s="9">
        <v>0</v>
      </c>
      <c r="I123" s="9">
        <v>0</v>
      </c>
      <c r="J123" s="824"/>
      <c r="K123" s="822"/>
    </row>
    <row r="124" spans="1:11" s="2" customFormat="1">
      <c r="A124" s="753"/>
      <c r="B124" s="820"/>
      <c r="C124" s="755"/>
      <c r="D124" s="314">
        <v>2020</v>
      </c>
      <c r="E124" s="8">
        <f t="shared" si="14"/>
        <v>0</v>
      </c>
      <c r="F124" s="8">
        <v>0</v>
      </c>
      <c r="G124" s="9">
        <v>0</v>
      </c>
      <c r="H124" s="9">
        <v>0</v>
      </c>
      <c r="I124" s="9">
        <v>0</v>
      </c>
      <c r="J124" s="824"/>
      <c r="K124" s="822"/>
    </row>
    <row r="125" spans="1:11" s="2" customFormat="1" ht="13.5" customHeight="1">
      <c r="A125" s="763" t="s">
        <v>202</v>
      </c>
      <c r="B125" s="820" t="s">
        <v>55</v>
      </c>
      <c r="C125" s="755" t="s">
        <v>14</v>
      </c>
      <c r="D125" s="314" t="s">
        <v>8</v>
      </c>
      <c r="E125" s="8">
        <f t="shared" si="14"/>
        <v>108562.5</v>
      </c>
      <c r="F125" s="8">
        <f>SUM(F126:F130)</f>
        <v>108562.5</v>
      </c>
      <c r="G125" s="8">
        <f>SUM(G126:G130)</f>
        <v>0</v>
      </c>
      <c r="H125" s="8">
        <f>SUM(H126:H130)</f>
        <v>0</v>
      </c>
      <c r="I125" s="8">
        <f>SUM(I126:I130)</f>
        <v>0</v>
      </c>
      <c r="J125" s="824" t="s">
        <v>281</v>
      </c>
      <c r="K125" s="822" t="s">
        <v>26</v>
      </c>
    </row>
    <row r="126" spans="1:11" s="2" customFormat="1" ht="13.5" customHeight="1">
      <c r="A126" s="763"/>
      <c r="B126" s="820"/>
      <c r="C126" s="755"/>
      <c r="D126" s="314">
        <v>2016</v>
      </c>
      <c r="E126" s="8">
        <f t="shared" si="14"/>
        <v>20912.5</v>
      </c>
      <c r="F126" s="8">
        <v>20912.5</v>
      </c>
      <c r="G126" s="9">
        <v>0</v>
      </c>
      <c r="H126" s="9">
        <v>0</v>
      </c>
      <c r="I126" s="9">
        <v>0</v>
      </c>
      <c r="J126" s="824"/>
      <c r="K126" s="822"/>
    </row>
    <row r="127" spans="1:11" s="2" customFormat="1" ht="13.5" customHeight="1">
      <c r="A127" s="763"/>
      <c r="B127" s="820"/>
      <c r="C127" s="755"/>
      <c r="D127" s="314">
        <v>2017</v>
      </c>
      <c r="E127" s="8">
        <f>SUM(F127:I127)</f>
        <v>21912.5</v>
      </c>
      <c r="F127" s="8">
        <v>21912.5</v>
      </c>
      <c r="G127" s="9">
        <v>0</v>
      </c>
      <c r="H127" s="9">
        <v>0</v>
      </c>
      <c r="I127" s="9">
        <v>0</v>
      </c>
      <c r="J127" s="824"/>
      <c r="K127" s="822"/>
    </row>
    <row r="128" spans="1:11" s="2" customFormat="1" ht="13.5" customHeight="1">
      <c r="A128" s="763"/>
      <c r="B128" s="820"/>
      <c r="C128" s="755"/>
      <c r="D128" s="314">
        <v>2018</v>
      </c>
      <c r="E128" s="8">
        <f t="shared" si="14"/>
        <v>21912.5</v>
      </c>
      <c r="F128" s="8">
        <v>21912.5</v>
      </c>
      <c r="G128" s="9">
        <v>0</v>
      </c>
      <c r="H128" s="9">
        <v>0</v>
      </c>
      <c r="I128" s="9">
        <v>0</v>
      </c>
      <c r="J128" s="824"/>
      <c r="K128" s="822"/>
    </row>
    <row r="129" spans="1:11" s="2" customFormat="1" ht="13.5" customHeight="1">
      <c r="A129" s="763"/>
      <c r="B129" s="820"/>
      <c r="C129" s="755"/>
      <c r="D129" s="314">
        <v>2019</v>
      </c>
      <c r="E129" s="8">
        <f>SUM(F129:I129)</f>
        <v>21912.5</v>
      </c>
      <c r="F129" s="8">
        <v>21912.5</v>
      </c>
      <c r="G129" s="9">
        <v>0</v>
      </c>
      <c r="H129" s="9">
        <v>0</v>
      </c>
      <c r="I129" s="9">
        <v>0</v>
      </c>
      <c r="J129" s="824"/>
      <c r="K129" s="822"/>
    </row>
    <row r="130" spans="1:11" s="2" customFormat="1" ht="13.5" customHeight="1">
      <c r="A130" s="763"/>
      <c r="B130" s="820"/>
      <c r="C130" s="755"/>
      <c r="D130" s="314">
        <v>2020</v>
      </c>
      <c r="E130" s="8">
        <f>SUM(F130:I130)</f>
        <v>21912.5</v>
      </c>
      <c r="F130" s="8">
        <v>21912.5</v>
      </c>
      <c r="G130" s="9">
        <v>0</v>
      </c>
      <c r="H130" s="9">
        <v>0</v>
      </c>
      <c r="I130" s="9">
        <v>0</v>
      </c>
      <c r="J130" s="824"/>
      <c r="K130" s="822"/>
    </row>
    <row r="131" spans="1:11" s="2" customFormat="1" ht="15" customHeight="1">
      <c r="A131" s="753" t="s">
        <v>204</v>
      </c>
      <c r="B131" s="820" t="s">
        <v>56</v>
      </c>
      <c r="C131" s="755" t="s">
        <v>14</v>
      </c>
      <c r="D131" s="314" t="s">
        <v>8</v>
      </c>
      <c r="E131" s="8">
        <f t="shared" si="14"/>
        <v>4976</v>
      </c>
      <c r="F131" s="8">
        <f>SUM(F132:F136)</f>
        <v>4976</v>
      </c>
      <c r="G131" s="8">
        <f>SUM(G132:G136)</f>
        <v>0</v>
      </c>
      <c r="H131" s="8">
        <f>SUM(H132:H136)</f>
        <v>0</v>
      </c>
      <c r="I131" s="8">
        <f>SUM(I132:I136)</f>
        <v>0</v>
      </c>
      <c r="J131" s="824" t="s">
        <v>57</v>
      </c>
      <c r="K131" s="822" t="s">
        <v>26</v>
      </c>
    </row>
    <row r="132" spans="1:11" s="2" customFormat="1">
      <c r="A132" s="753"/>
      <c r="B132" s="820"/>
      <c r="C132" s="755"/>
      <c r="D132" s="314">
        <v>2016</v>
      </c>
      <c r="E132" s="8">
        <f t="shared" si="14"/>
        <v>1084</v>
      </c>
      <c r="F132" s="8">
        <v>1084</v>
      </c>
      <c r="G132" s="9">
        <v>0</v>
      </c>
      <c r="H132" s="9">
        <v>0</v>
      </c>
      <c r="I132" s="9">
        <v>0</v>
      </c>
      <c r="J132" s="824"/>
      <c r="K132" s="822"/>
    </row>
    <row r="133" spans="1:11" s="2" customFormat="1">
      <c r="A133" s="753"/>
      <c r="B133" s="820"/>
      <c r="C133" s="755"/>
      <c r="D133" s="314">
        <v>2017</v>
      </c>
      <c r="E133" s="8">
        <f>SUM(F133:I133)</f>
        <v>1055</v>
      </c>
      <c r="F133" s="8">
        <v>1055</v>
      </c>
      <c r="G133" s="9">
        <v>0</v>
      </c>
      <c r="H133" s="9">
        <v>0</v>
      </c>
      <c r="I133" s="9">
        <v>0</v>
      </c>
      <c r="J133" s="824"/>
      <c r="K133" s="822"/>
    </row>
    <row r="134" spans="1:11" s="2" customFormat="1">
      <c r="A134" s="753"/>
      <c r="B134" s="820"/>
      <c r="C134" s="755"/>
      <c r="D134" s="314">
        <v>2018</v>
      </c>
      <c r="E134" s="8">
        <f>SUM(F134:I134)</f>
        <v>669</v>
      </c>
      <c r="F134" s="8">
        <v>669</v>
      </c>
      <c r="G134" s="9">
        <v>0</v>
      </c>
      <c r="H134" s="9">
        <v>0</v>
      </c>
      <c r="I134" s="9">
        <v>0</v>
      </c>
      <c r="J134" s="824"/>
      <c r="K134" s="822"/>
    </row>
    <row r="135" spans="1:11" s="2" customFormat="1">
      <c r="A135" s="753"/>
      <c r="B135" s="820"/>
      <c r="C135" s="755"/>
      <c r="D135" s="314">
        <v>2019</v>
      </c>
      <c r="E135" s="8">
        <f t="shared" ref="E135:E141" si="15">SUM(F135:I135)</f>
        <v>1084</v>
      </c>
      <c r="F135" s="8">
        <v>1084</v>
      </c>
      <c r="G135" s="9">
        <v>0</v>
      </c>
      <c r="H135" s="9">
        <v>0</v>
      </c>
      <c r="I135" s="9">
        <v>0</v>
      </c>
      <c r="J135" s="824"/>
      <c r="K135" s="822"/>
    </row>
    <row r="136" spans="1:11" s="2" customFormat="1">
      <c r="A136" s="753"/>
      <c r="B136" s="820"/>
      <c r="C136" s="755"/>
      <c r="D136" s="314">
        <v>2020</v>
      </c>
      <c r="E136" s="8">
        <f>SUM(F136:I136)</f>
        <v>1084</v>
      </c>
      <c r="F136" s="8">
        <v>1084</v>
      </c>
      <c r="G136" s="9">
        <v>0</v>
      </c>
      <c r="H136" s="9">
        <v>0</v>
      </c>
      <c r="I136" s="9">
        <v>0</v>
      </c>
      <c r="J136" s="824"/>
      <c r="K136" s="822"/>
    </row>
    <row r="137" spans="1:11" s="2" customFormat="1" ht="15" customHeight="1">
      <c r="A137" s="753" t="s">
        <v>205</v>
      </c>
      <c r="B137" s="820" t="s">
        <v>153</v>
      </c>
      <c r="C137" s="755" t="s">
        <v>195</v>
      </c>
      <c r="D137" s="314" t="s">
        <v>8</v>
      </c>
      <c r="E137" s="8">
        <f t="shared" si="15"/>
        <v>128.4</v>
      </c>
      <c r="F137" s="8">
        <f>SUM(F138:F142)</f>
        <v>128.4</v>
      </c>
      <c r="G137" s="8">
        <f>SUM(G138:G142)</f>
        <v>0</v>
      </c>
      <c r="H137" s="8">
        <f>SUM(H138:H142)</f>
        <v>0</v>
      </c>
      <c r="I137" s="8">
        <f>SUM(I138:I142)</f>
        <v>0</v>
      </c>
      <c r="J137" s="824" t="s">
        <v>282</v>
      </c>
      <c r="K137" s="822" t="s">
        <v>283</v>
      </c>
    </row>
    <row r="138" spans="1:11" s="2" customFormat="1">
      <c r="A138" s="753"/>
      <c r="B138" s="820"/>
      <c r="C138" s="755"/>
      <c r="D138" s="314">
        <v>2016</v>
      </c>
      <c r="E138" s="8">
        <f t="shared" si="15"/>
        <v>0</v>
      </c>
      <c r="F138" s="8">
        <v>0</v>
      </c>
      <c r="G138" s="9">
        <v>0</v>
      </c>
      <c r="H138" s="9">
        <v>0</v>
      </c>
      <c r="I138" s="9">
        <v>0</v>
      </c>
      <c r="J138" s="824"/>
      <c r="K138" s="822"/>
    </row>
    <row r="139" spans="1:11" s="2" customFormat="1">
      <c r="A139" s="753"/>
      <c r="B139" s="820"/>
      <c r="C139" s="755"/>
      <c r="D139" s="314">
        <v>2017</v>
      </c>
      <c r="E139" s="8">
        <f t="shared" si="15"/>
        <v>32.1</v>
      </c>
      <c r="F139" s="8">
        <v>32.1</v>
      </c>
      <c r="G139" s="9">
        <v>0</v>
      </c>
      <c r="H139" s="9">
        <v>0</v>
      </c>
      <c r="I139" s="9">
        <v>0</v>
      </c>
      <c r="J139" s="824"/>
      <c r="K139" s="822"/>
    </row>
    <row r="140" spans="1:11" s="2" customFormat="1">
      <c r="A140" s="753"/>
      <c r="B140" s="820"/>
      <c r="C140" s="755"/>
      <c r="D140" s="314">
        <v>2018</v>
      </c>
      <c r="E140" s="8">
        <f t="shared" si="15"/>
        <v>32.1</v>
      </c>
      <c r="F140" s="8">
        <v>32.1</v>
      </c>
      <c r="G140" s="9">
        <v>0</v>
      </c>
      <c r="H140" s="9">
        <v>0</v>
      </c>
      <c r="I140" s="9">
        <v>0</v>
      </c>
      <c r="J140" s="824"/>
      <c r="K140" s="822"/>
    </row>
    <row r="141" spans="1:11" s="2" customFormat="1">
      <c r="A141" s="753"/>
      <c r="B141" s="820"/>
      <c r="C141" s="755"/>
      <c r="D141" s="314">
        <v>2019</v>
      </c>
      <c r="E141" s="8">
        <f t="shared" si="15"/>
        <v>32.1</v>
      </c>
      <c r="F141" s="8">
        <v>32.1</v>
      </c>
      <c r="G141" s="9">
        <v>0</v>
      </c>
      <c r="H141" s="9">
        <v>0</v>
      </c>
      <c r="I141" s="9">
        <v>0</v>
      </c>
      <c r="J141" s="824"/>
      <c r="K141" s="822"/>
    </row>
    <row r="142" spans="1:11" s="2" customFormat="1">
      <c r="A142" s="753"/>
      <c r="B142" s="820"/>
      <c r="C142" s="755"/>
      <c r="D142" s="314">
        <v>2020</v>
      </c>
      <c r="E142" s="8">
        <f>SUM(F142:I142)</f>
        <v>32.1</v>
      </c>
      <c r="F142" s="8">
        <v>32.1</v>
      </c>
      <c r="G142" s="9">
        <v>0</v>
      </c>
      <c r="H142" s="9">
        <v>0</v>
      </c>
      <c r="I142" s="9">
        <v>0</v>
      </c>
      <c r="J142" s="824"/>
      <c r="K142" s="822"/>
    </row>
    <row r="143" spans="1:11" s="2" customFormat="1" ht="15" hidden="1" customHeight="1">
      <c r="A143" s="753" t="s">
        <v>206</v>
      </c>
      <c r="B143" s="820" t="s">
        <v>207</v>
      </c>
      <c r="C143" s="755">
        <v>2018</v>
      </c>
      <c r="D143" s="314" t="s">
        <v>8</v>
      </c>
      <c r="E143" s="8">
        <f>SUM(F143:I143)</f>
        <v>0</v>
      </c>
      <c r="F143" s="8">
        <f>SUM(F144:F148)</f>
        <v>0</v>
      </c>
      <c r="G143" s="8">
        <f>SUM(G144:G148)</f>
        <v>0</v>
      </c>
      <c r="H143" s="8">
        <f>SUM(H144:H148)</f>
        <v>0</v>
      </c>
      <c r="I143" s="8">
        <f>SUM(I144:I148)</f>
        <v>0</v>
      </c>
      <c r="J143" s="824"/>
      <c r="K143" s="822"/>
    </row>
    <row r="144" spans="1:11" s="2" customFormat="1" hidden="1">
      <c r="A144" s="753"/>
      <c r="B144" s="820"/>
      <c r="C144" s="755"/>
      <c r="D144" s="314">
        <v>2016</v>
      </c>
      <c r="E144" s="8">
        <f>SUM(F144:I144)</f>
        <v>0</v>
      </c>
      <c r="F144" s="8">
        <v>0</v>
      </c>
      <c r="G144" s="9">
        <v>0</v>
      </c>
      <c r="H144" s="9">
        <v>0</v>
      </c>
      <c r="I144" s="9">
        <v>0</v>
      </c>
      <c r="J144" s="824"/>
      <c r="K144" s="822"/>
    </row>
    <row r="145" spans="1:11" s="2" customFormat="1" hidden="1">
      <c r="A145" s="753"/>
      <c r="B145" s="820"/>
      <c r="C145" s="755"/>
      <c r="D145" s="314">
        <v>2017</v>
      </c>
      <c r="E145" s="8">
        <v>0</v>
      </c>
      <c r="F145" s="8">
        <v>0</v>
      </c>
      <c r="G145" s="9">
        <v>0</v>
      </c>
      <c r="H145" s="9">
        <v>0</v>
      </c>
      <c r="I145" s="9">
        <v>0</v>
      </c>
      <c r="J145" s="824"/>
      <c r="K145" s="822"/>
    </row>
    <row r="146" spans="1:11" s="2" customFormat="1" hidden="1">
      <c r="A146" s="753"/>
      <c r="B146" s="820"/>
      <c r="C146" s="755"/>
      <c r="D146" s="314">
        <v>2018</v>
      </c>
      <c r="E146" s="8">
        <f>SUM(F146:I146)</f>
        <v>0</v>
      </c>
      <c r="F146" s="8">
        <v>0</v>
      </c>
      <c r="G146" s="9">
        <v>0</v>
      </c>
      <c r="H146" s="9">
        <v>0</v>
      </c>
      <c r="I146" s="9">
        <v>0</v>
      </c>
      <c r="J146" s="824"/>
      <c r="K146" s="822"/>
    </row>
    <row r="147" spans="1:11" s="2" customFormat="1" hidden="1">
      <c r="A147" s="753"/>
      <c r="B147" s="820"/>
      <c r="C147" s="755"/>
      <c r="D147" s="314">
        <v>2019</v>
      </c>
      <c r="E147" s="8">
        <f>SUM(F147:I147)</f>
        <v>0</v>
      </c>
      <c r="F147" s="8">
        <v>0</v>
      </c>
      <c r="G147" s="9">
        <v>0</v>
      </c>
      <c r="H147" s="9">
        <v>0</v>
      </c>
      <c r="I147" s="9">
        <v>0</v>
      </c>
      <c r="J147" s="824"/>
      <c r="K147" s="822"/>
    </row>
    <row r="148" spans="1:11" s="2" customFormat="1" hidden="1">
      <c r="A148" s="753"/>
      <c r="B148" s="820"/>
      <c r="C148" s="755"/>
      <c r="D148" s="314">
        <v>2020</v>
      </c>
      <c r="E148" s="8">
        <f>SUM(F148:I148)</f>
        <v>0</v>
      </c>
      <c r="F148" s="8">
        <v>0</v>
      </c>
      <c r="G148" s="9">
        <v>0</v>
      </c>
      <c r="H148" s="9">
        <v>0</v>
      </c>
      <c r="I148" s="9">
        <v>0</v>
      </c>
      <c r="J148" s="824"/>
      <c r="K148" s="822"/>
    </row>
    <row r="149" spans="1:11" s="2" customFormat="1" ht="15" customHeight="1">
      <c r="A149" s="753" t="s">
        <v>274</v>
      </c>
      <c r="B149" s="820" t="s">
        <v>284</v>
      </c>
      <c r="C149" s="755" t="s">
        <v>187</v>
      </c>
      <c r="D149" s="314" t="s">
        <v>8</v>
      </c>
      <c r="E149" s="8">
        <f>SUM(F149:I149)</f>
        <v>15000</v>
      </c>
      <c r="F149" s="8">
        <f>SUM(F150:F154)</f>
        <v>15000</v>
      </c>
      <c r="G149" s="8">
        <f>SUM(G150:G154)</f>
        <v>0</v>
      </c>
      <c r="H149" s="8">
        <f>SUM(H150:H154)</f>
        <v>0</v>
      </c>
      <c r="I149" s="8">
        <f>SUM(I150:I154)</f>
        <v>0</v>
      </c>
      <c r="J149" s="820" t="s">
        <v>285</v>
      </c>
      <c r="K149" s="822" t="s">
        <v>66</v>
      </c>
    </row>
    <row r="150" spans="1:11" s="2" customFormat="1">
      <c r="A150" s="753"/>
      <c r="B150" s="820"/>
      <c r="C150" s="755"/>
      <c r="D150" s="314">
        <v>2016</v>
      </c>
      <c r="E150" s="8">
        <f>SUM(F150:I150)</f>
        <v>0</v>
      </c>
      <c r="F150" s="8">
        <v>0</v>
      </c>
      <c r="G150" s="9">
        <v>0</v>
      </c>
      <c r="H150" s="9">
        <v>0</v>
      </c>
      <c r="I150" s="9">
        <v>0</v>
      </c>
      <c r="J150" s="820"/>
      <c r="K150" s="822"/>
    </row>
    <row r="151" spans="1:11" s="2" customFormat="1">
      <c r="A151" s="753"/>
      <c r="B151" s="820"/>
      <c r="C151" s="755"/>
      <c r="D151" s="314">
        <v>2017</v>
      </c>
      <c r="E151" s="8">
        <v>0</v>
      </c>
      <c r="F151" s="8">
        <v>0</v>
      </c>
      <c r="G151" s="9">
        <v>0</v>
      </c>
      <c r="H151" s="9">
        <v>0</v>
      </c>
      <c r="I151" s="9">
        <v>0</v>
      </c>
      <c r="J151" s="820"/>
      <c r="K151" s="822"/>
    </row>
    <row r="152" spans="1:11" s="2" customFormat="1">
      <c r="A152" s="753"/>
      <c r="B152" s="820"/>
      <c r="C152" s="755"/>
      <c r="D152" s="314">
        <v>2018</v>
      </c>
      <c r="E152" s="8">
        <f>SUM(F152:I152)</f>
        <v>5000</v>
      </c>
      <c r="F152" s="8">
        <v>5000</v>
      </c>
      <c r="G152" s="9">
        <v>0</v>
      </c>
      <c r="H152" s="9">
        <v>0</v>
      </c>
      <c r="I152" s="9">
        <v>0</v>
      </c>
      <c r="J152" s="820"/>
      <c r="K152" s="822"/>
    </row>
    <row r="153" spans="1:11" s="2" customFormat="1">
      <c r="A153" s="753"/>
      <c r="B153" s="820"/>
      <c r="C153" s="755"/>
      <c r="D153" s="314">
        <v>2019</v>
      </c>
      <c r="E153" s="8">
        <f>SUM(F153:I153)</f>
        <v>5000</v>
      </c>
      <c r="F153" s="8">
        <v>5000</v>
      </c>
      <c r="G153" s="9">
        <v>0</v>
      </c>
      <c r="H153" s="9">
        <v>0</v>
      </c>
      <c r="I153" s="9">
        <v>0</v>
      </c>
      <c r="J153" s="820"/>
      <c r="K153" s="822"/>
    </row>
    <row r="154" spans="1:11" s="2" customFormat="1">
      <c r="A154" s="753"/>
      <c r="B154" s="820"/>
      <c r="C154" s="755"/>
      <c r="D154" s="314">
        <v>2020</v>
      </c>
      <c r="E154" s="8">
        <f>SUM(F154:I154)</f>
        <v>5000</v>
      </c>
      <c r="F154" s="8">
        <v>5000</v>
      </c>
      <c r="G154" s="9">
        <v>0</v>
      </c>
      <c r="H154" s="9">
        <v>0</v>
      </c>
      <c r="I154" s="9">
        <v>0</v>
      </c>
      <c r="J154" s="820"/>
      <c r="K154" s="822"/>
    </row>
    <row r="155" spans="1:11" s="2" customFormat="1" ht="30" customHeight="1">
      <c r="A155" s="753" t="s">
        <v>176</v>
      </c>
      <c r="B155" s="820" t="s">
        <v>59</v>
      </c>
      <c r="C155" s="755" t="s">
        <v>14</v>
      </c>
      <c r="D155" s="314" t="s">
        <v>8</v>
      </c>
      <c r="E155" s="8">
        <f>SUM(E156:E160)</f>
        <v>1924090.7000000002</v>
      </c>
      <c r="F155" s="8">
        <f>F156+F157+F158+F159+F160</f>
        <v>1894514.4</v>
      </c>
      <c r="G155" s="8">
        <f>G156+G157+G158+G159+G160</f>
        <v>29576.3</v>
      </c>
      <c r="H155" s="8">
        <f>H156+H157+H158+H159+H160</f>
        <v>0</v>
      </c>
      <c r="I155" s="8">
        <f>I156+I157+I158+I159+I160</f>
        <v>0</v>
      </c>
      <c r="J155" s="824" t="s">
        <v>60</v>
      </c>
      <c r="K155" s="822" t="s">
        <v>18</v>
      </c>
    </row>
    <row r="156" spans="1:11" s="2" customFormat="1" ht="30" customHeight="1">
      <c r="A156" s="753"/>
      <c r="B156" s="820"/>
      <c r="C156" s="755"/>
      <c r="D156" s="314">
        <v>2016</v>
      </c>
      <c r="E156" s="8">
        <f>SUM(F156:I156)</f>
        <v>297039.60000000003</v>
      </c>
      <c r="F156" s="8">
        <f t="shared" ref="F156:I160" si="16">F162+F168+F174+F180</f>
        <v>290831.7</v>
      </c>
      <c r="G156" s="8">
        <f t="shared" si="16"/>
        <v>6207.9</v>
      </c>
      <c r="H156" s="8">
        <f t="shared" si="16"/>
        <v>0</v>
      </c>
      <c r="I156" s="8">
        <f t="shared" si="16"/>
        <v>0</v>
      </c>
      <c r="J156" s="824"/>
      <c r="K156" s="822"/>
    </row>
    <row r="157" spans="1:11" s="2" customFormat="1" ht="30" customHeight="1">
      <c r="A157" s="753"/>
      <c r="B157" s="820"/>
      <c r="C157" s="755"/>
      <c r="D157" s="314">
        <v>2017</v>
      </c>
      <c r="E157" s="8">
        <f>SUM(F157:I157)</f>
        <v>344371.4</v>
      </c>
      <c r="F157" s="8">
        <f t="shared" si="16"/>
        <v>336315.9</v>
      </c>
      <c r="G157" s="8">
        <f t="shared" si="16"/>
        <v>8055.5</v>
      </c>
      <c r="H157" s="8">
        <f t="shared" si="16"/>
        <v>0</v>
      </c>
      <c r="I157" s="8">
        <f t="shared" si="16"/>
        <v>0</v>
      </c>
      <c r="J157" s="824"/>
      <c r="K157" s="822"/>
    </row>
    <row r="158" spans="1:11" s="2" customFormat="1" ht="30" customHeight="1">
      <c r="A158" s="753"/>
      <c r="B158" s="820"/>
      <c r="C158" s="755"/>
      <c r="D158" s="314">
        <v>2018</v>
      </c>
      <c r="E158" s="8">
        <f>SUM(F158:I158)</f>
        <v>452168.30000000005</v>
      </c>
      <c r="F158" s="8">
        <f t="shared" si="16"/>
        <v>436855.4</v>
      </c>
      <c r="G158" s="8">
        <f t="shared" si="16"/>
        <v>15312.9</v>
      </c>
      <c r="H158" s="8">
        <f t="shared" si="16"/>
        <v>0</v>
      </c>
      <c r="I158" s="8">
        <f t="shared" si="16"/>
        <v>0</v>
      </c>
      <c r="J158" s="824"/>
      <c r="K158" s="822"/>
    </row>
    <row r="159" spans="1:11" s="2" customFormat="1" ht="30" customHeight="1">
      <c r="A159" s="753"/>
      <c r="B159" s="820"/>
      <c r="C159" s="755"/>
      <c r="D159" s="314">
        <v>2019</v>
      </c>
      <c r="E159" s="8">
        <f>SUM(F159:I159)</f>
        <v>410110.4</v>
      </c>
      <c r="F159" s="8">
        <f t="shared" si="16"/>
        <v>410110.4</v>
      </c>
      <c r="G159" s="8">
        <f t="shared" si="16"/>
        <v>0</v>
      </c>
      <c r="H159" s="8">
        <f t="shared" si="16"/>
        <v>0</v>
      </c>
      <c r="I159" s="8">
        <f t="shared" si="16"/>
        <v>0</v>
      </c>
      <c r="J159" s="824"/>
      <c r="K159" s="822"/>
    </row>
    <row r="160" spans="1:11" s="2" customFormat="1" ht="30" customHeight="1">
      <c r="A160" s="753"/>
      <c r="B160" s="820"/>
      <c r="C160" s="755"/>
      <c r="D160" s="314">
        <v>2020</v>
      </c>
      <c r="E160" s="8">
        <f>SUM(F160:I160)</f>
        <v>420401</v>
      </c>
      <c r="F160" s="8">
        <f t="shared" si="16"/>
        <v>420401</v>
      </c>
      <c r="G160" s="8">
        <f t="shared" si="16"/>
        <v>0</v>
      </c>
      <c r="H160" s="8">
        <f t="shared" si="16"/>
        <v>0</v>
      </c>
      <c r="I160" s="8">
        <f t="shared" si="16"/>
        <v>0</v>
      </c>
      <c r="J160" s="824"/>
      <c r="K160" s="822"/>
    </row>
    <row r="161" spans="1:11" s="2" customFormat="1" ht="17.100000000000001" customHeight="1">
      <c r="A161" s="753" t="s">
        <v>58</v>
      </c>
      <c r="B161" s="820" t="s">
        <v>22</v>
      </c>
      <c r="C161" s="755" t="s">
        <v>14</v>
      </c>
      <c r="D161" s="314" t="s">
        <v>8</v>
      </c>
      <c r="E161" s="8">
        <f>SUM(E162:E166)</f>
        <v>1848920</v>
      </c>
      <c r="F161" s="8">
        <f>SUM(F162:F166)</f>
        <v>1848920</v>
      </c>
      <c r="G161" s="8">
        <f>SUM(G162:G165)</f>
        <v>0</v>
      </c>
      <c r="H161" s="8">
        <f>SUM(H162:H165)</f>
        <v>0</v>
      </c>
      <c r="I161" s="8">
        <f>SUM(I162:I165)</f>
        <v>0</v>
      </c>
      <c r="J161" s="824" t="s">
        <v>156</v>
      </c>
      <c r="K161" s="822" t="s">
        <v>61</v>
      </c>
    </row>
    <row r="162" spans="1:11" s="2" customFormat="1" ht="17.100000000000001" customHeight="1">
      <c r="A162" s="753"/>
      <c r="B162" s="820"/>
      <c r="C162" s="755"/>
      <c r="D162" s="314">
        <v>2016</v>
      </c>
      <c r="E162" s="8">
        <f>SUM(F162:I162)</f>
        <v>288974</v>
      </c>
      <c r="F162" s="9">
        <v>288974</v>
      </c>
      <c r="G162" s="9">
        <f>[6]План!G232+[6]План!G240+[6]План!G248+[6]План!G256+[6]План!G264+[6]План!G272+[6]План!G280+[6]План!G288+[6]План!G296+[6]План!G304+[6]План!G312+[6]План!G320+[6]План!G328+[6]План!G336+[6]План!G344+[6]План!G352+[6]План!G360+[6]План!G368+[6]План!G376+[6]План!G384+[6]План!G392+[6]План!G400+[6]План!G408+[6]План!G416+[6]План!G424+[6]План!G432+[6]План!G440+[6]План!G448+[6]План!G456+[6]План!G464+[6]План!G472+[6]План!G480+[6]План!G488+[6]План!G496+[6]План!G504+[6]План!G512+[6]План!G520+[6]План!G528+[6]План!G536+[6]План!G544+[6]План!G552+[6]План!G560+[6]План!G568+[6]План!G584+[6]План!G592</f>
        <v>0</v>
      </c>
      <c r="H162" s="9">
        <f>[6]План!H232+[6]План!H240+[6]План!H248+[6]План!H256+[6]План!H264+[6]План!H272+[6]План!H280+[6]План!H288+[6]План!H296+[6]План!H304+[6]План!H312+[6]План!H320+[6]План!H328+[6]План!H336+[6]План!H344+[6]План!H352+[6]План!H360+[6]План!H368+[6]План!H376+[6]План!H384+[6]План!H392+[6]План!H400+[6]План!H408+[6]План!H416+[6]План!H424+[6]План!H432+[6]План!H440+[6]План!H448+[6]План!H456+[6]План!H464+[6]План!H472+[6]План!H480+[6]План!H488+[6]План!H496+[6]План!H504+[6]План!H512+[6]План!H520+[6]План!H528+[6]План!H536+[6]План!H544+[6]План!H552+[6]План!H560+[6]План!H568+[6]План!H584+[6]План!H592</f>
        <v>0</v>
      </c>
      <c r="I162" s="9">
        <f>[6]План!I232+[6]План!I240+[6]План!I248+[6]План!I256+[6]План!I264+[6]План!I272+[6]План!I280+[6]План!I288+[6]План!I296+[6]План!I304+[6]План!I312+[6]План!I320+[6]План!I328+[6]План!I336+[6]План!I344+[6]План!I352+[6]План!I360+[6]План!I368+[6]План!I376+[6]План!I384+[6]План!I392+[6]План!I400+[6]План!I408+[6]План!I416+[6]План!I424+[6]План!I432+[6]План!I440+[6]План!I448+[6]План!I456+[6]План!I464+[6]План!I472+[6]План!I480+[6]План!I488+[6]План!I496+[6]План!I504+[6]План!I512+[6]План!I520+[6]План!I528+[6]План!I536+[6]План!I544+[6]План!I552+[6]План!I560+[6]План!I568+[6]План!I584+[6]План!I592</f>
        <v>0</v>
      </c>
      <c r="J162" s="824"/>
      <c r="K162" s="822"/>
    </row>
    <row r="163" spans="1:11" s="2" customFormat="1" ht="17.100000000000001" customHeight="1">
      <c r="A163" s="753"/>
      <c r="B163" s="820"/>
      <c r="C163" s="755"/>
      <c r="D163" s="314">
        <v>2017</v>
      </c>
      <c r="E163" s="8">
        <f>SUM(F163:I163)</f>
        <v>334047.40000000002</v>
      </c>
      <c r="F163" s="9">
        <v>334047.40000000002</v>
      </c>
      <c r="G163" s="9">
        <f>[6]План!G233+[6]План!G241+[6]План!G249+[6]План!G257+[6]План!G265+[6]План!G273+[6]План!G281+[6]План!G289+[6]План!G297+[6]План!G305+[6]План!G313+[6]План!G321+[6]План!G329+[6]План!G337+[6]План!G345+[6]План!G353+[6]План!G361+[6]План!G369+[6]План!G377+[6]План!G385+[6]План!G393+[6]План!G401+[6]План!G409+[6]План!G417+[6]План!G425+[6]План!G433+[6]План!G441+[6]План!G449+[6]План!G457+[6]План!G465+[6]План!G473+[6]План!G481+[6]План!G489+[6]План!G497+[6]План!G505+[6]План!G513+[6]План!G521+[6]План!G529+[6]План!G537+[6]План!G545+[6]План!G553+[6]План!G561+[6]План!G569+[6]План!G585+[6]План!G593</f>
        <v>0</v>
      </c>
      <c r="H163" s="9">
        <f>[6]План!H233+[6]План!H241+[6]План!H249+[6]План!H257+[6]План!H265+[6]План!H273+[6]План!H281+[6]План!H289+[6]План!H297+[6]План!H305+[6]План!H313+[6]План!H321+[6]План!H329+[6]План!H337+[6]План!H345+[6]План!H353+[6]План!H361+[6]План!H369+[6]План!H377+[6]План!H385+[6]План!H393+[6]План!H401+[6]План!H409+[6]План!H417+[6]План!H425+[6]План!H433+[6]План!H441+[6]План!H449+[6]План!H457+[6]План!H465+[6]План!H473+[6]План!H481+[6]План!H489+[6]План!H497+[6]План!H505+[6]План!H513+[6]План!H521+[6]План!H529+[6]План!H537+[6]План!H545+[6]План!H553+[6]План!H561+[6]План!H569+[6]План!H585+[6]План!H593</f>
        <v>0</v>
      </c>
      <c r="I163" s="9">
        <f>[6]План!I233+[6]План!I241+[6]План!I249+[6]План!I257+[6]План!I265+[6]План!I273+[6]План!I281+[6]План!I289+[6]План!I297+[6]План!I305+[6]План!I313+[6]План!I321+[6]План!I329+[6]План!I337+[6]План!I345+[6]План!I353+[6]План!I361+[6]План!I369+[6]План!I377+[6]План!I385+[6]План!I393+[6]План!I401+[6]План!I409+[6]План!I417+[6]План!I425+[6]План!I433+[6]План!I441+[6]План!I449+[6]План!I457+[6]План!I465+[6]План!I473+[6]План!I481+[6]План!I489+[6]План!I497+[6]План!I505+[6]План!I513+[6]План!I521+[6]План!I529+[6]План!I537+[6]План!I545+[6]План!I553+[6]План!I561+[6]План!I569+[6]План!I585+[6]План!I593</f>
        <v>0</v>
      </c>
      <c r="J163" s="824"/>
      <c r="K163" s="822"/>
    </row>
    <row r="164" spans="1:11" s="2" customFormat="1" ht="17.100000000000001" customHeight="1">
      <c r="A164" s="753"/>
      <c r="B164" s="820"/>
      <c r="C164" s="755"/>
      <c r="D164" s="314">
        <v>2018</v>
      </c>
      <c r="E164" s="8">
        <f>SUM(F164:I164)</f>
        <v>427097.2</v>
      </c>
      <c r="F164" s="9">
        <v>427097.2</v>
      </c>
      <c r="G164" s="9">
        <f>[6]План!G234+[6]План!G242+[6]План!G250+[6]План!G258+[6]План!G266+[6]План!G274+[6]План!G282+[6]План!G290+[6]План!G298+[6]План!G306+[6]План!G314+[6]План!G322+[6]План!G330+[6]План!G338+[6]План!G346+[6]План!G354+[6]План!G362+[6]План!G370+[6]План!G378+[6]План!G386+[6]План!G394+[6]План!G402+[6]План!G410+[6]План!G418+[6]План!G426+[6]План!G434+[6]План!G442+[6]План!G450+[6]План!G458+[6]План!G466+[6]План!G474+[6]План!G482+[6]План!G490+[6]План!G498+[6]План!G506+[6]План!G514+[6]План!G522+[6]План!G530+[6]План!G538+[6]План!G546+[6]План!G554+[6]План!G562+[6]План!G570+[6]План!G586+[6]План!G594</f>
        <v>0</v>
      </c>
      <c r="H164" s="9">
        <f>[6]План!H234+[6]План!H242+[6]План!H250+[6]План!H258+[6]План!H266+[6]План!H274+[6]План!H282+[6]План!H290+[6]План!H298+[6]План!H306+[6]План!H314+[6]План!H322+[6]План!H330+[6]План!H338+[6]План!H346+[6]План!H354+[6]План!H362+[6]План!H370+[6]План!H378+[6]План!H386+[6]План!H394+[6]План!H402+[6]План!H410+[6]План!H418+[6]План!H426+[6]План!H434+[6]План!H442+[6]План!H450+[6]План!H458+[6]План!H466+[6]План!H474+[6]План!H482+[6]План!H490+[6]План!H498+[6]План!H506+[6]План!H514+[6]План!H522+[6]План!H530+[6]План!H538+[6]План!H546+[6]План!H554+[6]План!H562+[6]План!H570+[6]План!H586+[6]План!H594</f>
        <v>0</v>
      </c>
      <c r="I164" s="9">
        <f>[6]План!I234+[6]План!I242+[6]План!I250+[6]План!I258+[6]План!I266+[6]План!I274+[6]План!I282+[6]План!I290+[6]План!I298+[6]План!I306+[6]План!I314+[6]План!I322+[6]План!I330+[6]План!I338+[6]План!I346+[6]План!I354+[6]План!I362+[6]План!I370+[6]План!I378+[6]План!I386+[6]План!I394+[6]План!I402+[6]План!I410+[6]План!I418+[6]План!I426+[6]План!I434+[6]План!I442+[6]План!I450+[6]План!I458+[6]План!I466+[6]План!I474+[6]План!I482+[6]План!I490+[6]План!I498+[6]План!I506+[6]План!I514+[6]План!I522+[6]План!I530+[6]План!I538+[6]План!I546+[6]План!I554+[6]План!I562+[6]План!I570+[6]План!I586+[6]План!I594</f>
        <v>0</v>
      </c>
      <c r="J164" s="824"/>
      <c r="K164" s="822"/>
    </row>
    <row r="165" spans="1:11" s="2" customFormat="1" ht="17.100000000000001" customHeight="1">
      <c r="A165" s="753"/>
      <c r="B165" s="820"/>
      <c r="C165" s="755"/>
      <c r="D165" s="314">
        <v>2019</v>
      </c>
      <c r="E165" s="8">
        <f>SUM(F165:I165)</f>
        <v>394255.4</v>
      </c>
      <c r="F165" s="9">
        <v>394255.4</v>
      </c>
      <c r="G165" s="9">
        <v>0</v>
      </c>
      <c r="H165" s="9">
        <v>0</v>
      </c>
      <c r="I165" s="9">
        <v>0</v>
      </c>
      <c r="J165" s="824"/>
      <c r="K165" s="822"/>
    </row>
    <row r="166" spans="1:11" s="2" customFormat="1" ht="17.100000000000001" customHeight="1">
      <c r="A166" s="753"/>
      <c r="B166" s="820"/>
      <c r="C166" s="755"/>
      <c r="D166" s="314">
        <v>2020</v>
      </c>
      <c r="E166" s="8">
        <f>SUM(F166:I166)</f>
        <v>404546</v>
      </c>
      <c r="F166" s="9">
        <v>404546</v>
      </c>
      <c r="G166" s="9">
        <v>0</v>
      </c>
      <c r="H166" s="9">
        <v>0</v>
      </c>
      <c r="I166" s="9">
        <v>0</v>
      </c>
      <c r="J166" s="824"/>
      <c r="K166" s="822"/>
    </row>
    <row r="167" spans="1:11" s="2" customFormat="1" ht="13.5" customHeight="1">
      <c r="A167" s="753" t="s">
        <v>67</v>
      </c>
      <c r="B167" s="820" t="s">
        <v>62</v>
      </c>
      <c r="C167" s="755" t="s">
        <v>14</v>
      </c>
      <c r="D167" s="314" t="s">
        <v>8</v>
      </c>
      <c r="E167" s="8">
        <f>SUM(E168:E172)</f>
        <v>10395.599999999999</v>
      </c>
      <c r="F167" s="8">
        <f>SUM(F168:F172)</f>
        <v>10395.599999999999</v>
      </c>
      <c r="G167" s="8">
        <f>SUM(G168:G172)</f>
        <v>0</v>
      </c>
      <c r="H167" s="8">
        <f>SUM(H168:H172)</f>
        <v>0</v>
      </c>
      <c r="I167" s="8">
        <f>SUM(I168:I172)</f>
        <v>0</v>
      </c>
      <c r="J167" s="824" t="s">
        <v>63</v>
      </c>
      <c r="K167" s="822" t="s">
        <v>61</v>
      </c>
    </row>
    <row r="168" spans="1:11" s="2" customFormat="1" ht="13.5" customHeight="1">
      <c r="A168" s="753"/>
      <c r="B168" s="820"/>
      <c r="C168" s="755"/>
      <c r="D168" s="314">
        <v>2016</v>
      </c>
      <c r="E168" s="8">
        <f>SUM(F168:I168)</f>
        <v>1527.7</v>
      </c>
      <c r="F168" s="8">
        <v>1527.7</v>
      </c>
      <c r="G168" s="9">
        <v>0</v>
      </c>
      <c r="H168" s="9">
        <v>0</v>
      </c>
      <c r="I168" s="9">
        <v>0</v>
      </c>
      <c r="J168" s="824"/>
      <c r="K168" s="822"/>
    </row>
    <row r="169" spans="1:11" s="2" customFormat="1" ht="13.5" customHeight="1">
      <c r="A169" s="753"/>
      <c r="B169" s="820"/>
      <c r="C169" s="755"/>
      <c r="D169" s="314">
        <v>2017</v>
      </c>
      <c r="E169" s="8">
        <f>SUM(F169:I169)</f>
        <v>1819.6</v>
      </c>
      <c r="F169" s="8">
        <v>1819.6</v>
      </c>
      <c r="G169" s="9">
        <v>0</v>
      </c>
      <c r="H169" s="9">
        <v>0</v>
      </c>
      <c r="I169" s="9">
        <v>0</v>
      </c>
      <c r="J169" s="824"/>
      <c r="K169" s="822"/>
    </row>
    <row r="170" spans="1:11" s="2" customFormat="1" ht="13.5" customHeight="1">
      <c r="A170" s="753"/>
      <c r="B170" s="820"/>
      <c r="C170" s="755"/>
      <c r="D170" s="314">
        <v>2018</v>
      </c>
      <c r="E170" s="8">
        <f>SUM(F170:I170)</f>
        <v>3503.7</v>
      </c>
      <c r="F170" s="9">
        <v>3503.7</v>
      </c>
      <c r="G170" s="9">
        <v>0</v>
      </c>
      <c r="H170" s="9">
        <v>0</v>
      </c>
      <c r="I170" s="9">
        <v>0</v>
      </c>
      <c r="J170" s="824"/>
      <c r="K170" s="822"/>
    </row>
    <row r="171" spans="1:11" s="2" customFormat="1" ht="13.5" customHeight="1">
      <c r="A171" s="753"/>
      <c r="B171" s="820"/>
      <c r="C171" s="755"/>
      <c r="D171" s="314">
        <v>2019</v>
      </c>
      <c r="E171" s="8">
        <f>SUM(F171:I171)</f>
        <v>1772.3</v>
      </c>
      <c r="F171" s="9">
        <v>1772.3</v>
      </c>
      <c r="G171" s="9">
        <v>0</v>
      </c>
      <c r="H171" s="9">
        <v>0</v>
      </c>
      <c r="I171" s="9">
        <v>0</v>
      </c>
      <c r="J171" s="824"/>
      <c r="K171" s="822"/>
    </row>
    <row r="172" spans="1:11" s="2" customFormat="1" ht="13.5" customHeight="1">
      <c r="A172" s="753"/>
      <c r="B172" s="820"/>
      <c r="C172" s="755"/>
      <c r="D172" s="314">
        <v>2020</v>
      </c>
      <c r="E172" s="8">
        <f>SUM(F172:I172)</f>
        <v>1772.3</v>
      </c>
      <c r="F172" s="9">
        <v>1772.3</v>
      </c>
      <c r="G172" s="9">
        <v>0</v>
      </c>
      <c r="H172" s="9">
        <v>0</v>
      </c>
      <c r="I172" s="9">
        <v>0</v>
      </c>
      <c r="J172" s="824"/>
      <c r="K172" s="822"/>
    </row>
    <row r="173" spans="1:11" s="2" customFormat="1" ht="21.95" customHeight="1">
      <c r="A173" s="753" t="s">
        <v>209</v>
      </c>
      <c r="B173" s="827" t="s">
        <v>64</v>
      </c>
      <c r="C173" s="755" t="s">
        <v>14</v>
      </c>
      <c r="D173" s="314" t="s">
        <v>8</v>
      </c>
      <c r="E173" s="8">
        <f>SUM(E174:E178)</f>
        <v>64756.2</v>
      </c>
      <c r="F173" s="8">
        <f>SUM(F174:F178)</f>
        <v>35179.9</v>
      </c>
      <c r="G173" s="8">
        <f>SUM(G174:G178)</f>
        <v>29576.3</v>
      </c>
      <c r="H173" s="8">
        <f>SUM(H174:H178)</f>
        <v>0</v>
      </c>
      <c r="I173" s="8">
        <f>SUM(I174:I178)</f>
        <v>0</v>
      </c>
      <c r="J173" s="830" t="s">
        <v>444</v>
      </c>
      <c r="K173" s="822" t="s">
        <v>445</v>
      </c>
    </row>
    <row r="174" spans="1:11" s="2" customFormat="1" ht="21.95" customHeight="1">
      <c r="A174" s="753"/>
      <c r="B174" s="828"/>
      <c r="C174" s="755"/>
      <c r="D174" s="314">
        <v>2016</v>
      </c>
      <c r="E174" s="8">
        <f>SUM(F174:I174)</f>
        <v>6537.9</v>
      </c>
      <c r="F174" s="8">
        <v>330</v>
      </c>
      <c r="G174" s="9">
        <v>6207.9</v>
      </c>
      <c r="H174" s="9">
        <v>0</v>
      </c>
      <c r="I174" s="9">
        <v>0</v>
      </c>
      <c r="J174" s="831"/>
      <c r="K174" s="822"/>
    </row>
    <row r="175" spans="1:11" s="2" customFormat="1" ht="21.95" customHeight="1">
      <c r="A175" s="753"/>
      <c r="B175" s="828"/>
      <c r="C175" s="755"/>
      <c r="D175" s="314">
        <v>2017</v>
      </c>
      <c r="E175" s="8">
        <f>SUM(F175:I175)</f>
        <v>8485.5</v>
      </c>
      <c r="F175" s="8">
        <v>430</v>
      </c>
      <c r="G175" s="9">
        <v>8055.5</v>
      </c>
      <c r="H175" s="9">
        <v>0</v>
      </c>
      <c r="I175" s="9">
        <v>0</v>
      </c>
      <c r="J175" s="831"/>
      <c r="K175" s="822"/>
    </row>
    <row r="176" spans="1:11" s="2" customFormat="1" ht="21.95" customHeight="1">
      <c r="A176" s="753"/>
      <c r="B176" s="828"/>
      <c r="C176" s="755"/>
      <c r="D176" s="314">
        <v>2018</v>
      </c>
      <c r="E176" s="8">
        <f>SUM(F176:I176)</f>
        <v>21567.4</v>
      </c>
      <c r="F176" s="9">
        <v>6254.5</v>
      </c>
      <c r="G176" s="9">
        <v>15312.9</v>
      </c>
      <c r="H176" s="9">
        <v>0</v>
      </c>
      <c r="I176" s="9">
        <v>0</v>
      </c>
      <c r="J176" s="831"/>
      <c r="K176" s="822"/>
    </row>
    <row r="177" spans="1:11" s="2" customFormat="1" ht="21.95" customHeight="1">
      <c r="A177" s="753"/>
      <c r="B177" s="828"/>
      <c r="C177" s="755"/>
      <c r="D177" s="314">
        <v>2019</v>
      </c>
      <c r="E177" s="8">
        <f>SUM(F177:I177)</f>
        <v>14082.7</v>
      </c>
      <c r="F177" s="9">
        <v>14082.7</v>
      </c>
      <c r="G177" s="9">
        <v>0</v>
      </c>
      <c r="H177" s="9">
        <v>0</v>
      </c>
      <c r="I177" s="9">
        <v>0</v>
      </c>
      <c r="J177" s="831"/>
      <c r="K177" s="822"/>
    </row>
    <row r="178" spans="1:11" s="2" customFormat="1" ht="157.5" customHeight="1">
      <c r="A178" s="753"/>
      <c r="B178" s="829"/>
      <c r="C178" s="755"/>
      <c r="D178" s="314">
        <v>2020</v>
      </c>
      <c r="E178" s="8">
        <f>SUM(F178:I178)</f>
        <v>14082.7</v>
      </c>
      <c r="F178" s="9">
        <v>14082.7</v>
      </c>
      <c r="G178" s="9">
        <v>0</v>
      </c>
      <c r="H178" s="9">
        <v>0</v>
      </c>
      <c r="I178" s="9">
        <v>0</v>
      </c>
      <c r="J178" s="832"/>
      <c r="K178" s="822"/>
    </row>
    <row r="179" spans="1:11" s="2" customFormat="1" ht="17.100000000000001" hidden="1" customHeight="1">
      <c r="A179" s="753" t="s">
        <v>210</v>
      </c>
      <c r="B179" s="820" t="s">
        <v>157</v>
      </c>
      <c r="C179" s="755">
        <v>2017</v>
      </c>
      <c r="D179" s="314" t="s">
        <v>8</v>
      </c>
      <c r="E179" s="8">
        <f>SUM(E180:E182)</f>
        <v>18.899999999999999</v>
      </c>
      <c r="F179" s="8">
        <f>SUM(F180:F184)</f>
        <v>18.899999999999999</v>
      </c>
      <c r="G179" s="8">
        <f>SUM(G180:G184)</f>
        <v>0</v>
      </c>
      <c r="H179" s="8">
        <f>SUM(H180:H184)</f>
        <v>0</v>
      </c>
      <c r="I179" s="8">
        <f>SUM(I180:I184)</f>
        <v>0</v>
      </c>
      <c r="J179" s="824" t="s">
        <v>157</v>
      </c>
      <c r="K179" s="822" t="s">
        <v>61</v>
      </c>
    </row>
    <row r="180" spans="1:11" s="2" customFormat="1" ht="17.100000000000001" hidden="1" customHeight="1">
      <c r="A180" s="753"/>
      <c r="B180" s="820"/>
      <c r="C180" s="755"/>
      <c r="D180" s="314">
        <v>2016</v>
      </c>
      <c r="E180" s="8">
        <f>SUM(F180:I180)</f>
        <v>0</v>
      </c>
      <c r="F180" s="8">
        <v>0</v>
      </c>
      <c r="G180" s="9">
        <v>0</v>
      </c>
      <c r="H180" s="9">
        <v>0</v>
      </c>
      <c r="I180" s="9">
        <v>0</v>
      </c>
      <c r="J180" s="824"/>
      <c r="K180" s="822"/>
    </row>
    <row r="181" spans="1:11" s="2" customFormat="1" ht="17.100000000000001" hidden="1" customHeight="1">
      <c r="A181" s="753"/>
      <c r="B181" s="820"/>
      <c r="C181" s="755"/>
      <c r="D181" s="314">
        <v>2017</v>
      </c>
      <c r="E181" s="8">
        <f>SUM(F181:I181)</f>
        <v>18.899999999999999</v>
      </c>
      <c r="F181" s="8">
        <v>18.899999999999999</v>
      </c>
      <c r="G181" s="9">
        <v>0</v>
      </c>
      <c r="H181" s="9">
        <v>0</v>
      </c>
      <c r="I181" s="9">
        <v>0</v>
      </c>
      <c r="J181" s="824"/>
      <c r="K181" s="822"/>
    </row>
    <row r="182" spans="1:11" s="2" customFormat="1" ht="17.100000000000001" hidden="1" customHeight="1">
      <c r="A182" s="753"/>
      <c r="B182" s="820"/>
      <c r="C182" s="755"/>
      <c r="D182" s="314">
        <v>2018</v>
      </c>
      <c r="E182" s="8">
        <f>SUM(F182:I182)</f>
        <v>0</v>
      </c>
      <c r="F182" s="8">
        <v>0</v>
      </c>
      <c r="G182" s="9">
        <v>0</v>
      </c>
      <c r="H182" s="9">
        <v>0</v>
      </c>
      <c r="I182" s="9">
        <v>0</v>
      </c>
      <c r="J182" s="824"/>
      <c r="K182" s="822"/>
    </row>
    <row r="183" spans="1:11" s="2" customFormat="1" ht="17.100000000000001" hidden="1" customHeight="1">
      <c r="A183" s="753"/>
      <c r="B183" s="820"/>
      <c r="C183" s="755"/>
      <c r="D183" s="314">
        <v>2019</v>
      </c>
      <c r="E183" s="8">
        <f>SUM(F183:I183)</f>
        <v>0</v>
      </c>
      <c r="F183" s="8">
        <v>0</v>
      </c>
      <c r="G183" s="9">
        <v>0</v>
      </c>
      <c r="H183" s="9">
        <v>0</v>
      </c>
      <c r="I183" s="9">
        <v>0</v>
      </c>
      <c r="J183" s="824"/>
      <c r="K183" s="822"/>
    </row>
    <row r="184" spans="1:11" s="2" customFormat="1" ht="17.100000000000001" hidden="1" customHeight="1">
      <c r="A184" s="753"/>
      <c r="B184" s="820"/>
      <c r="C184" s="755"/>
      <c r="D184" s="314">
        <v>2020</v>
      </c>
      <c r="E184" s="8">
        <f>SUM(F184:I184)</f>
        <v>0</v>
      </c>
      <c r="F184" s="8">
        <v>0</v>
      </c>
      <c r="G184" s="9">
        <v>0</v>
      </c>
      <c r="H184" s="9">
        <v>0</v>
      </c>
      <c r="I184" s="9">
        <v>0</v>
      </c>
      <c r="J184" s="824"/>
      <c r="K184" s="822"/>
    </row>
    <row r="185" spans="1:11" s="2" customFormat="1" ht="24.95" customHeight="1">
      <c r="A185" s="753" t="s">
        <v>177</v>
      </c>
      <c r="B185" s="820" t="s">
        <v>68</v>
      </c>
      <c r="C185" s="755" t="s">
        <v>14</v>
      </c>
      <c r="D185" s="314" t="s">
        <v>8</v>
      </c>
      <c r="E185" s="8">
        <f t="shared" ref="E185:E190" si="17">F185+G185+H185+I185</f>
        <v>31281.1</v>
      </c>
      <c r="F185" s="8">
        <f>SUM(F186:F190)</f>
        <v>31281.1</v>
      </c>
      <c r="G185" s="8">
        <f>SUM(G186:G190)</f>
        <v>0</v>
      </c>
      <c r="H185" s="8">
        <f>SUM(H186:H190)</f>
        <v>0</v>
      </c>
      <c r="I185" s="8">
        <f>SUM(I186:I190)</f>
        <v>0</v>
      </c>
      <c r="J185" s="824" t="s">
        <v>69</v>
      </c>
      <c r="K185" s="822" t="s">
        <v>42</v>
      </c>
    </row>
    <row r="186" spans="1:11" s="2" customFormat="1" ht="24.95" customHeight="1">
      <c r="A186" s="753"/>
      <c r="B186" s="820"/>
      <c r="C186" s="755"/>
      <c r="D186" s="314">
        <v>2016</v>
      </c>
      <c r="E186" s="8">
        <f t="shared" si="17"/>
        <v>1983.3</v>
      </c>
      <c r="F186" s="8">
        <f t="shared" ref="F186:I190" si="18">F192+F198+F204+F210</f>
        <v>1983.3</v>
      </c>
      <c r="G186" s="8">
        <f t="shared" si="18"/>
        <v>0</v>
      </c>
      <c r="H186" s="8">
        <f t="shared" si="18"/>
        <v>0</v>
      </c>
      <c r="I186" s="8">
        <f t="shared" si="18"/>
        <v>0</v>
      </c>
      <c r="J186" s="824"/>
      <c r="K186" s="822"/>
    </row>
    <row r="187" spans="1:11" s="2" customFormat="1" ht="24.95" customHeight="1">
      <c r="A187" s="753"/>
      <c r="B187" s="820"/>
      <c r="C187" s="755"/>
      <c r="D187" s="314">
        <v>2017</v>
      </c>
      <c r="E187" s="8">
        <f t="shared" si="17"/>
        <v>27553.3</v>
      </c>
      <c r="F187" s="8">
        <f t="shared" si="18"/>
        <v>27553.3</v>
      </c>
      <c r="G187" s="8">
        <f t="shared" si="18"/>
        <v>0</v>
      </c>
      <c r="H187" s="8">
        <f t="shared" si="18"/>
        <v>0</v>
      </c>
      <c r="I187" s="8">
        <f t="shared" si="18"/>
        <v>0</v>
      </c>
      <c r="J187" s="824"/>
      <c r="K187" s="822"/>
    </row>
    <row r="188" spans="1:11" s="2" customFormat="1" ht="24.95" customHeight="1">
      <c r="A188" s="753"/>
      <c r="B188" s="820"/>
      <c r="C188" s="755"/>
      <c r="D188" s="314">
        <v>2018</v>
      </c>
      <c r="E188" s="8">
        <f t="shared" si="17"/>
        <v>581.5</v>
      </c>
      <c r="F188" s="8">
        <f t="shared" si="18"/>
        <v>581.5</v>
      </c>
      <c r="G188" s="8">
        <f t="shared" si="18"/>
        <v>0</v>
      </c>
      <c r="H188" s="8">
        <f t="shared" si="18"/>
        <v>0</v>
      </c>
      <c r="I188" s="8">
        <f t="shared" si="18"/>
        <v>0</v>
      </c>
      <c r="J188" s="824"/>
      <c r="K188" s="822"/>
    </row>
    <row r="189" spans="1:11" s="2" customFormat="1" ht="24.95" customHeight="1">
      <c r="A189" s="753"/>
      <c r="B189" s="820"/>
      <c r="C189" s="755"/>
      <c r="D189" s="314">
        <v>2019</v>
      </c>
      <c r="E189" s="8">
        <f t="shared" si="17"/>
        <v>581.5</v>
      </c>
      <c r="F189" s="8">
        <f t="shared" si="18"/>
        <v>581.5</v>
      </c>
      <c r="G189" s="8">
        <f t="shared" si="18"/>
        <v>0</v>
      </c>
      <c r="H189" s="8">
        <f t="shared" si="18"/>
        <v>0</v>
      </c>
      <c r="I189" s="8">
        <f t="shared" si="18"/>
        <v>0</v>
      </c>
      <c r="J189" s="824"/>
      <c r="K189" s="822"/>
    </row>
    <row r="190" spans="1:11" s="2" customFormat="1" ht="24.95" customHeight="1">
      <c r="A190" s="753"/>
      <c r="B190" s="820"/>
      <c r="C190" s="755"/>
      <c r="D190" s="314">
        <v>2020</v>
      </c>
      <c r="E190" s="8">
        <f t="shared" si="17"/>
        <v>581.5</v>
      </c>
      <c r="F190" s="8">
        <f t="shared" si="18"/>
        <v>581.5</v>
      </c>
      <c r="G190" s="8">
        <f t="shared" si="18"/>
        <v>0</v>
      </c>
      <c r="H190" s="8">
        <f t="shared" si="18"/>
        <v>0</v>
      </c>
      <c r="I190" s="8">
        <f t="shared" si="18"/>
        <v>0</v>
      </c>
      <c r="J190" s="824"/>
      <c r="K190" s="822"/>
    </row>
    <row r="191" spans="1:11" s="2" customFormat="1" ht="15.75" customHeight="1">
      <c r="A191" s="753" t="s">
        <v>211</v>
      </c>
      <c r="B191" s="820" t="s">
        <v>70</v>
      </c>
      <c r="C191" s="755" t="s">
        <v>14</v>
      </c>
      <c r="D191" s="314" t="s">
        <v>8</v>
      </c>
      <c r="E191" s="8">
        <f t="shared" ref="E191:E215" si="19">SUM(F191:I191)</f>
        <v>3331.1</v>
      </c>
      <c r="F191" s="8">
        <f>SUM(F192:F196)</f>
        <v>3331.1</v>
      </c>
      <c r="G191" s="8">
        <f>SUM(G192:G196)</f>
        <v>0</v>
      </c>
      <c r="H191" s="8">
        <f>SUM(H192:H196)</f>
        <v>0</v>
      </c>
      <c r="I191" s="8">
        <f>SUM(I192:I196)</f>
        <v>0</v>
      </c>
      <c r="J191" s="824" t="s">
        <v>71</v>
      </c>
      <c r="K191" s="822" t="s">
        <v>61</v>
      </c>
    </row>
    <row r="192" spans="1:11" s="2" customFormat="1">
      <c r="A192" s="753"/>
      <c r="B192" s="820"/>
      <c r="C192" s="755"/>
      <c r="D192" s="314">
        <v>2016</v>
      </c>
      <c r="E192" s="8">
        <f t="shared" si="19"/>
        <v>883.3</v>
      </c>
      <c r="F192" s="8">
        <v>883.3</v>
      </c>
      <c r="G192" s="9">
        <v>0</v>
      </c>
      <c r="H192" s="9">
        <v>0</v>
      </c>
      <c r="I192" s="9">
        <v>0</v>
      </c>
      <c r="J192" s="824"/>
      <c r="K192" s="822"/>
    </row>
    <row r="193" spans="1:11" s="2" customFormat="1">
      <c r="A193" s="753"/>
      <c r="B193" s="820"/>
      <c r="C193" s="755"/>
      <c r="D193" s="314">
        <v>2017</v>
      </c>
      <c r="E193" s="8">
        <f t="shared" si="19"/>
        <v>703.3</v>
      </c>
      <c r="F193" s="8">
        <v>703.3</v>
      </c>
      <c r="G193" s="9">
        <v>0</v>
      </c>
      <c r="H193" s="9">
        <v>0</v>
      </c>
      <c r="I193" s="9">
        <v>0</v>
      </c>
      <c r="J193" s="824"/>
      <c r="K193" s="822"/>
    </row>
    <row r="194" spans="1:11" s="2" customFormat="1">
      <c r="A194" s="753"/>
      <c r="B194" s="820"/>
      <c r="C194" s="755"/>
      <c r="D194" s="314">
        <v>2018</v>
      </c>
      <c r="E194" s="8">
        <f t="shared" si="19"/>
        <v>581.5</v>
      </c>
      <c r="F194" s="8">
        <v>581.5</v>
      </c>
      <c r="G194" s="9">
        <v>0</v>
      </c>
      <c r="H194" s="9">
        <v>0</v>
      </c>
      <c r="I194" s="9">
        <v>0</v>
      </c>
      <c r="J194" s="824"/>
      <c r="K194" s="822"/>
    </row>
    <row r="195" spans="1:11" s="2" customFormat="1">
      <c r="A195" s="753"/>
      <c r="B195" s="820"/>
      <c r="C195" s="755"/>
      <c r="D195" s="314">
        <v>2019</v>
      </c>
      <c r="E195" s="8">
        <f>SUM(F195:I195)</f>
        <v>581.5</v>
      </c>
      <c r="F195" s="8">
        <v>581.5</v>
      </c>
      <c r="G195" s="9">
        <v>0</v>
      </c>
      <c r="H195" s="9">
        <v>0</v>
      </c>
      <c r="I195" s="9">
        <v>0</v>
      </c>
      <c r="J195" s="824"/>
      <c r="K195" s="822"/>
    </row>
    <row r="196" spans="1:11" s="2" customFormat="1">
      <c r="A196" s="753"/>
      <c r="B196" s="820"/>
      <c r="C196" s="755"/>
      <c r="D196" s="314">
        <v>2020</v>
      </c>
      <c r="E196" s="8">
        <f>SUM(F196:I196)</f>
        <v>581.5</v>
      </c>
      <c r="F196" s="8">
        <v>581.5</v>
      </c>
      <c r="G196" s="9">
        <v>0</v>
      </c>
      <c r="H196" s="9">
        <v>0</v>
      </c>
      <c r="I196" s="9">
        <v>0</v>
      </c>
      <c r="J196" s="824"/>
      <c r="K196" s="822"/>
    </row>
    <row r="197" spans="1:11" s="2" customFormat="1" ht="15.75" hidden="1" customHeight="1">
      <c r="A197" s="753" t="s">
        <v>212</v>
      </c>
      <c r="B197" s="820" t="s">
        <v>72</v>
      </c>
      <c r="C197" s="755">
        <v>2016</v>
      </c>
      <c r="D197" s="314" t="s">
        <v>8</v>
      </c>
      <c r="E197" s="8">
        <f t="shared" si="19"/>
        <v>1100</v>
      </c>
      <c r="F197" s="8">
        <f>SUM(F198:F202)</f>
        <v>1100</v>
      </c>
      <c r="G197" s="8">
        <f>SUM(G198:G202)</f>
        <v>0</v>
      </c>
      <c r="H197" s="8">
        <f>SUM(H198:H202)</f>
        <v>0</v>
      </c>
      <c r="I197" s="8">
        <f>SUM(I198:I202)</f>
        <v>0</v>
      </c>
      <c r="J197" s="824" t="s">
        <v>73</v>
      </c>
      <c r="K197" s="822" t="s">
        <v>66</v>
      </c>
    </row>
    <row r="198" spans="1:11" s="2" customFormat="1" hidden="1">
      <c r="A198" s="753"/>
      <c r="B198" s="820"/>
      <c r="C198" s="755"/>
      <c r="D198" s="314">
        <v>2016</v>
      </c>
      <c r="E198" s="8">
        <f t="shared" si="19"/>
        <v>1100</v>
      </c>
      <c r="F198" s="8">
        <v>1100</v>
      </c>
      <c r="G198" s="9">
        <v>0</v>
      </c>
      <c r="H198" s="9">
        <v>0</v>
      </c>
      <c r="I198" s="9">
        <v>0</v>
      </c>
      <c r="J198" s="824"/>
      <c r="K198" s="822"/>
    </row>
    <row r="199" spans="1:11" s="2" customFormat="1" hidden="1">
      <c r="A199" s="753"/>
      <c r="B199" s="820"/>
      <c r="C199" s="755"/>
      <c r="D199" s="314">
        <v>2017</v>
      </c>
      <c r="E199" s="8">
        <f t="shared" si="19"/>
        <v>0</v>
      </c>
      <c r="F199" s="9">
        <v>0</v>
      </c>
      <c r="G199" s="9">
        <v>0</v>
      </c>
      <c r="H199" s="9">
        <v>0</v>
      </c>
      <c r="I199" s="9">
        <v>0</v>
      </c>
      <c r="J199" s="824"/>
      <c r="K199" s="822"/>
    </row>
    <row r="200" spans="1:11" s="2" customFormat="1" hidden="1">
      <c r="A200" s="753"/>
      <c r="B200" s="820"/>
      <c r="C200" s="755"/>
      <c r="D200" s="314">
        <v>2018</v>
      </c>
      <c r="E200" s="8">
        <f t="shared" si="19"/>
        <v>0</v>
      </c>
      <c r="F200" s="9">
        <v>0</v>
      </c>
      <c r="G200" s="9">
        <v>0</v>
      </c>
      <c r="H200" s="9">
        <v>0</v>
      </c>
      <c r="I200" s="9">
        <v>0</v>
      </c>
      <c r="J200" s="824"/>
      <c r="K200" s="822"/>
    </row>
    <row r="201" spans="1:11" s="2" customFormat="1" hidden="1">
      <c r="A201" s="753"/>
      <c r="B201" s="820"/>
      <c r="C201" s="755"/>
      <c r="D201" s="314">
        <v>2019</v>
      </c>
      <c r="E201" s="8">
        <f>SUM(F201:I201)</f>
        <v>0</v>
      </c>
      <c r="F201" s="9">
        <v>0</v>
      </c>
      <c r="G201" s="9">
        <v>0</v>
      </c>
      <c r="H201" s="9">
        <v>0</v>
      </c>
      <c r="I201" s="9">
        <v>0</v>
      </c>
      <c r="J201" s="824"/>
      <c r="K201" s="822"/>
    </row>
    <row r="202" spans="1:11" s="2" customFormat="1" hidden="1">
      <c r="A202" s="753"/>
      <c r="B202" s="820"/>
      <c r="C202" s="755"/>
      <c r="D202" s="314">
        <v>2020</v>
      </c>
      <c r="E202" s="8">
        <f>SUM(F202:I202)</f>
        <v>0</v>
      </c>
      <c r="F202" s="9">
        <v>0</v>
      </c>
      <c r="G202" s="9">
        <v>0</v>
      </c>
      <c r="H202" s="9">
        <v>0</v>
      </c>
      <c r="I202" s="9">
        <v>0</v>
      </c>
      <c r="J202" s="824"/>
      <c r="K202" s="822"/>
    </row>
    <row r="203" spans="1:11" s="2" customFormat="1" ht="15.75" hidden="1" customHeight="1">
      <c r="A203" s="753" t="s">
        <v>213</v>
      </c>
      <c r="B203" s="820" t="s">
        <v>74</v>
      </c>
      <c r="C203" s="755">
        <v>2017</v>
      </c>
      <c r="D203" s="314" t="s">
        <v>8</v>
      </c>
      <c r="E203" s="8">
        <f t="shared" si="19"/>
        <v>1850</v>
      </c>
      <c r="F203" s="8">
        <f>SUM(F204:F208)</f>
        <v>1850</v>
      </c>
      <c r="G203" s="8">
        <f>SUM(G204:G208)</f>
        <v>0</v>
      </c>
      <c r="H203" s="8">
        <f>SUM(H204:H208)</f>
        <v>0</v>
      </c>
      <c r="I203" s="8">
        <f>SUM(I204:I208)</f>
        <v>0</v>
      </c>
      <c r="J203" s="820" t="s">
        <v>75</v>
      </c>
      <c r="K203" s="822" t="s">
        <v>66</v>
      </c>
    </row>
    <row r="204" spans="1:11" s="2" customFormat="1" hidden="1">
      <c r="A204" s="753"/>
      <c r="B204" s="820"/>
      <c r="C204" s="755"/>
      <c r="D204" s="314">
        <v>2016</v>
      </c>
      <c r="E204" s="8">
        <f t="shared" si="19"/>
        <v>0</v>
      </c>
      <c r="F204" s="8">
        <v>0</v>
      </c>
      <c r="G204" s="9">
        <v>0</v>
      </c>
      <c r="H204" s="9">
        <v>0</v>
      </c>
      <c r="I204" s="9">
        <v>0</v>
      </c>
      <c r="J204" s="820"/>
      <c r="K204" s="822"/>
    </row>
    <row r="205" spans="1:11" s="2" customFormat="1" hidden="1">
      <c r="A205" s="753"/>
      <c r="B205" s="820"/>
      <c r="C205" s="755"/>
      <c r="D205" s="314">
        <v>2017</v>
      </c>
      <c r="E205" s="8">
        <f t="shared" si="19"/>
        <v>1850</v>
      </c>
      <c r="F205" s="9">
        <v>1850</v>
      </c>
      <c r="G205" s="9">
        <v>0</v>
      </c>
      <c r="H205" s="9">
        <v>0</v>
      </c>
      <c r="I205" s="9">
        <v>0</v>
      </c>
      <c r="J205" s="820"/>
      <c r="K205" s="822"/>
    </row>
    <row r="206" spans="1:11" s="2" customFormat="1" hidden="1">
      <c r="A206" s="753"/>
      <c r="B206" s="820"/>
      <c r="C206" s="755"/>
      <c r="D206" s="314">
        <v>2018</v>
      </c>
      <c r="E206" s="8">
        <f t="shared" si="19"/>
        <v>0</v>
      </c>
      <c r="F206" s="9">
        <v>0</v>
      </c>
      <c r="G206" s="9">
        <v>0</v>
      </c>
      <c r="H206" s="9">
        <v>0</v>
      </c>
      <c r="I206" s="9">
        <v>0</v>
      </c>
      <c r="J206" s="820"/>
      <c r="K206" s="822"/>
    </row>
    <row r="207" spans="1:11" s="2" customFormat="1" hidden="1">
      <c r="A207" s="753"/>
      <c r="B207" s="820"/>
      <c r="C207" s="755"/>
      <c r="D207" s="314">
        <v>2019</v>
      </c>
      <c r="E207" s="8">
        <f t="shared" si="19"/>
        <v>0</v>
      </c>
      <c r="F207" s="9">
        <v>0</v>
      </c>
      <c r="G207" s="9">
        <v>0</v>
      </c>
      <c r="H207" s="9">
        <v>0</v>
      </c>
      <c r="I207" s="9">
        <v>0</v>
      </c>
      <c r="J207" s="820"/>
      <c r="K207" s="822"/>
    </row>
    <row r="208" spans="1:11" s="2" customFormat="1" hidden="1">
      <c r="A208" s="753"/>
      <c r="B208" s="820"/>
      <c r="C208" s="755"/>
      <c r="D208" s="314">
        <v>2020</v>
      </c>
      <c r="E208" s="8">
        <f t="shared" ref="E208:E214" si="20">SUM(F208:I208)</f>
        <v>0</v>
      </c>
      <c r="F208" s="9">
        <v>0</v>
      </c>
      <c r="G208" s="9">
        <v>0</v>
      </c>
      <c r="H208" s="9">
        <v>0</v>
      </c>
      <c r="I208" s="9">
        <v>0</v>
      </c>
      <c r="J208" s="820"/>
      <c r="K208" s="822"/>
    </row>
    <row r="209" spans="1:11" s="2" customFormat="1" ht="15.75" hidden="1" customHeight="1">
      <c r="A209" s="753" t="s">
        <v>214</v>
      </c>
      <c r="B209" s="820" t="s">
        <v>158</v>
      </c>
      <c r="C209" s="755">
        <v>2017</v>
      </c>
      <c r="D209" s="314" t="s">
        <v>8</v>
      </c>
      <c r="E209" s="8">
        <f t="shared" si="20"/>
        <v>25000</v>
      </c>
      <c r="F209" s="8">
        <f>SUM(F210:F214)</f>
        <v>25000</v>
      </c>
      <c r="G209" s="8">
        <f>SUM(G210:G214)</f>
        <v>0</v>
      </c>
      <c r="H209" s="8">
        <f>SUM(H210:H214)</f>
        <v>0</v>
      </c>
      <c r="I209" s="8">
        <f>SUM(I210:I214)</f>
        <v>0</v>
      </c>
      <c r="J209" s="820" t="s">
        <v>159</v>
      </c>
      <c r="K209" s="822" t="s">
        <v>66</v>
      </c>
    </row>
    <row r="210" spans="1:11" s="2" customFormat="1" hidden="1">
      <c r="A210" s="753"/>
      <c r="B210" s="820"/>
      <c r="C210" s="755"/>
      <c r="D210" s="314">
        <v>2016</v>
      </c>
      <c r="E210" s="8">
        <f t="shared" si="20"/>
        <v>0</v>
      </c>
      <c r="F210" s="8">
        <v>0</v>
      </c>
      <c r="G210" s="9">
        <v>0</v>
      </c>
      <c r="H210" s="9">
        <v>0</v>
      </c>
      <c r="I210" s="9">
        <v>0</v>
      </c>
      <c r="J210" s="820"/>
      <c r="K210" s="822"/>
    </row>
    <row r="211" spans="1:11" s="2" customFormat="1" hidden="1">
      <c r="A211" s="753"/>
      <c r="B211" s="820"/>
      <c r="C211" s="755"/>
      <c r="D211" s="314">
        <v>2017</v>
      </c>
      <c r="E211" s="8">
        <f t="shared" si="20"/>
        <v>25000</v>
      </c>
      <c r="F211" s="9">
        <v>25000</v>
      </c>
      <c r="G211" s="9">
        <v>0</v>
      </c>
      <c r="H211" s="9">
        <v>0</v>
      </c>
      <c r="I211" s="9">
        <v>0</v>
      </c>
      <c r="J211" s="820"/>
      <c r="K211" s="822"/>
    </row>
    <row r="212" spans="1:11" s="2" customFormat="1" hidden="1">
      <c r="A212" s="753"/>
      <c r="B212" s="820"/>
      <c r="C212" s="755"/>
      <c r="D212" s="314">
        <v>2018</v>
      </c>
      <c r="E212" s="8">
        <f t="shared" si="20"/>
        <v>0</v>
      </c>
      <c r="F212" s="9">
        <v>0</v>
      </c>
      <c r="G212" s="9">
        <v>0</v>
      </c>
      <c r="H212" s="9">
        <v>0</v>
      </c>
      <c r="I212" s="9">
        <v>0</v>
      </c>
      <c r="J212" s="820"/>
      <c r="K212" s="822"/>
    </row>
    <row r="213" spans="1:11" s="2" customFormat="1" hidden="1">
      <c r="A213" s="753"/>
      <c r="B213" s="820"/>
      <c r="C213" s="755"/>
      <c r="D213" s="314">
        <v>2019</v>
      </c>
      <c r="E213" s="8">
        <f t="shared" si="20"/>
        <v>0</v>
      </c>
      <c r="F213" s="9">
        <v>0</v>
      </c>
      <c r="G213" s="9">
        <v>0</v>
      </c>
      <c r="H213" s="9">
        <v>0</v>
      </c>
      <c r="I213" s="9">
        <v>0</v>
      </c>
      <c r="J213" s="820"/>
      <c r="K213" s="822"/>
    </row>
    <row r="214" spans="1:11" s="2" customFormat="1" hidden="1">
      <c r="A214" s="753"/>
      <c r="B214" s="820"/>
      <c r="C214" s="755"/>
      <c r="D214" s="314">
        <v>2020</v>
      </c>
      <c r="E214" s="8">
        <f t="shared" si="20"/>
        <v>0</v>
      </c>
      <c r="F214" s="9">
        <v>0</v>
      </c>
      <c r="G214" s="9">
        <v>0</v>
      </c>
      <c r="H214" s="9">
        <v>0</v>
      </c>
      <c r="I214" s="9">
        <v>0</v>
      </c>
      <c r="J214" s="820"/>
      <c r="K214" s="822"/>
    </row>
    <row r="215" spans="1:11" s="2" customFormat="1" ht="15" customHeight="1">
      <c r="A215" s="753" t="s">
        <v>76</v>
      </c>
      <c r="B215" s="822" t="s">
        <v>77</v>
      </c>
      <c r="C215" s="755" t="s">
        <v>14</v>
      </c>
      <c r="D215" s="314" t="s">
        <v>8</v>
      </c>
      <c r="E215" s="8">
        <f t="shared" si="19"/>
        <v>1776487.2999999998</v>
      </c>
      <c r="F215" s="8">
        <f>SUM(F216:F220)</f>
        <v>1326618.2</v>
      </c>
      <c r="G215" s="8">
        <f>SUM(G216:G220)</f>
        <v>114439.2</v>
      </c>
      <c r="H215" s="8">
        <f>SUM(H216:H220)</f>
        <v>271329.90000000002</v>
      </c>
      <c r="I215" s="8">
        <f>SUM(I216:I220)</f>
        <v>64100</v>
      </c>
      <c r="J215" s="824"/>
      <c r="K215" s="822" t="s">
        <v>78</v>
      </c>
    </row>
    <row r="216" spans="1:11" s="2" customFormat="1">
      <c r="A216" s="753"/>
      <c r="B216" s="822"/>
      <c r="C216" s="755"/>
      <c r="D216" s="314">
        <v>2016</v>
      </c>
      <c r="E216" s="8">
        <f>F216+G216+H216+I216</f>
        <v>165142.70000000001</v>
      </c>
      <c r="F216" s="8">
        <f t="shared" ref="F216:I220" si="21">F222+F306+F420</f>
        <v>112036</v>
      </c>
      <c r="G216" s="8">
        <f t="shared" si="21"/>
        <v>11357.5</v>
      </c>
      <c r="H216" s="8">
        <f t="shared" si="21"/>
        <v>20949.2</v>
      </c>
      <c r="I216" s="8">
        <f t="shared" si="21"/>
        <v>20800</v>
      </c>
      <c r="J216" s="824"/>
      <c r="K216" s="822"/>
    </row>
    <row r="217" spans="1:11" s="2" customFormat="1">
      <c r="A217" s="753"/>
      <c r="B217" s="822"/>
      <c r="C217" s="755"/>
      <c r="D217" s="314">
        <v>2017</v>
      </c>
      <c r="E217" s="8">
        <f>F217+G217+H217+I217</f>
        <v>212124.6</v>
      </c>
      <c r="F217" s="8">
        <f t="shared" si="21"/>
        <v>135945</v>
      </c>
      <c r="G217" s="8">
        <f t="shared" si="21"/>
        <v>11265.5</v>
      </c>
      <c r="H217" s="8">
        <f t="shared" si="21"/>
        <v>49914.100000000006</v>
      </c>
      <c r="I217" s="8">
        <f t="shared" si="21"/>
        <v>15000</v>
      </c>
      <c r="J217" s="824"/>
      <c r="K217" s="822"/>
    </row>
    <row r="218" spans="1:11" s="2" customFormat="1">
      <c r="A218" s="753"/>
      <c r="B218" s="822"/>
      <c r="C218" s="755"/>
      <c r="D218" s="314">
        <v>2018</v>
      </c>
      <c r="E218" s="8">
        <f>F218+G218+H218+I218</f>
        <v>464527.8</v>
      </c>
      <c r="F218" s="8">
        <f t="shared" si="21"/>
        <v>410454.8</v>
      </c>
      <c r="G218" s="8">
        <f t="shared" si="21"/>
        <v>0</v>
      </c>
      <c r="H218" s="8">
        <f t="shared" si="21"/>
        <v>54073</v>
      </c>
      <c r="I218" s="8">
        <f t="shared" si="21"/>
        <v>0</v>
      </c>
      <c r="J218" s="824"/>
      <c r="K218" s="822"/>
    </row>
    <row r="219" spans="1:11" s="2" customFormat="1">
      <c r="A219" s="753"/>
      <c r="B219" s="822"/>
      <c r="C219" s="755"/>
      <c r="D219" s="314">
        <v>2019</v>
      </c>
      <c r="E219" s="8">
        <f>F219+G219+H219+I219</f>
        <v>685078</v>
      </c>
      <c r="F219" s="8">
        <f t="shared" si="21"/>
        <v>480918.2</v>
      </c>
      <c r="G219" s="8">
        <f t="shared" si="21"/>
        <v>91816.2</v>
      </c>
      <c r="H219" s="8">
        <f t="shared" si="21"/>
        <v>84043.6</v>
      </c>
      <c r="I219" s="8">
        <f t="shared" si="21"/>
        <v>28300</v>
      </c>
      <c r="J219" s="824"/>
      <c r="K219" s="822"/>
    </row>
    <row r="220" spans="1:11" s="2" customFormat="1">
      <c r="A220" s="753"/>
      <c r="B220" s="822"/>
      <c r="C220" s="755"/>
      <c r="D220" s="314">
        <v>2020</v>
      </c>
      <c r="E220" s="8">
        <f>F220+G220+H220+I220</f>
        <v>249614.2</v>
      </c>
      <c r="F220" s="8">
        <f t="shared" si="21"/>
        <v>187264.2</v>
      </c>
      <c r="G220" s="8">
        <f t="shared" si="21"/>
        <v>0</v>
      </c>
      <c r="H220" s="8">
        <f t="shared" si="21"/>
        <v>62350</v>
      </c>
      <c r="I220" s="8">
        <f t="shared" si="21"/>
        <v>0</v>
      </c>
      <c r="J220" s="824"/>
      <c r="K220" s="822"/>
    </row>
    <row r="221" spans="1:11" s="2" customFormat="1" ht="15.95" customHeight="1">
      <c r="A221" s="753" t="s">
        <v>178</v>
      </c>
      <c r="B221" s="820" t="s">
        <v>80</v>
      </c>
      <c r="C221" s="755" t="s">
        <v>14</v>
      </c>
      <c r="D221" s="314" t="s">
        <v>8</v>
      </c>
      <c r="E221" s="8">
        <f>SUM(F221:I221)</f>
        <v>1216700.0999999999</v>
      </c>
      <c r="F221" s="8">
        <f>SUM(F222:F226)</f>
        <v>963547</v>
      </c>
      <c r="G221" s="8">
        <f>SUM(G222:G225)</f>
        <v>91816.2</v>
      </c>
      <c r="H221" s="8">
        <f>SUM(H222:H226)</f>
        <v>125536.9</v>
      </c>
      <c r="I221" s="8">
        <f>SUM(I222:I225)</f>
        <v>35800</v>
      </c>
      <c r="J221" s="824" t="s">
        <v>81</v>
      </c>
      <c r="K221" s="822" t="s">
        <v>82</v>
      </c>
    </row>
    <row r="222" spans="1:11" s="2" customFormat="1" ht="15.95" customHeight="1">
      <c r="A222" s="753"/>
      <c r="B222" s="820"/>
      <c r="C222" s="755"/>
      <c r="D222" s="314">
        <v>2016</v>
      </c>
      <c r="E222" s="8">
        <f>F222+G222+H222+I222</f>
        <v>76401.7</v>
      </c>
      <c r="F222" s="8">
        <f t="shared" ref="F222:I226" si="22">SUM(F228,F234,F240,F246,F252,F258,F264,F270,F276,F282,F288,F294,F300)</f>
        <v>38301.699999999997</v>
      </c>
      <c r="G222" s="8">
        <f t="shared" si="22"/>
        <v>0</v>
      </c>
      <c r="H222" s="8">
        <f t="shared" si="22"/>
        <v>17300</v>
      </c>
      <c r="I222" s="8">
        <f t="shared" si="22"/>
        <v>20800</v>
      </c>
      <c r="J222" s="824"/>
      <c r="K222" s="822"/>
    </row>
    <row r="223" spans="1:11" s="2" customFormat="1" ht="15.95" customHeight="1">
      <c r="A223" s="753"/>
      <c r="B223" s="820"/>
      <c r="C223" s="755"/>
      <c r="D223" s="314">
        <v>2017</v>
      </c>
      <c r="E223" s="8">
        <f>F223+G223+H223+I223</f>
        <v>147872.70000000001</v>
      </c>
      <c r="F223" s="8">
        <f t="shared" si="22"/>
        <v>85679.4</v>
      </c>
      <c r="G223" s="8">
        <f t="shared" si="22"/>
        <v>0</v>
      </c>
      <c r="H223" s="8">
        <f t="shared" si="22"/>
        <v>47193.3</v>
      </c>
      <c r="I223" s="8">
        <f t="shared" si="22"/>
        <v>15000</v>
      </c>
      <c r="J223" s="824"/>
      <c r="K223" s="822"/>
    </row>
    <row r="224" spans="1:11" s="2" customFormat="1" ht="15.95" customHeight="1">
      <c r="A224" s="753"/>
      <c r="B224" s="820"/>
      <c r="C224" s="755"/>
      <c r="D224" s="314">
        <v>2018</v>
      </c>
      <c r="E224" s="8">
        <f>F224+G224+H224+I224</f>
        <v>406833.89999999997</v>
      </c>
      <c r="F224" s="8">
        <f t="shared" si="22"/>
        <v>365459.8</v>
      </c>
      <c r="G224" s="8">
        <f t="shared" si="22"/>
        <v>0</v>
      </c>
      <c r="H224" s="8">
        <f t="shared" si="22"/>
        <v>41374.1</v>
      </c>
      <c r="I224" s="8">
        <f t="shared" si="22"/>
        <v>0</v>
      </c>
      <c r="J224" s="824"/>
      <c r="K224" s="822"/>
    </row>
    <row r="225" spans="1:11" s="2" customFormat="1" ht="15.95" customHeight="1">
      <c r="A225" s="753"/>
      <c r="B225" s="820"/>
      <c r="C225" s="755"/>
      <c r="D225" s="314">
        <v>2019</v>
      </c>
      <c r="E225" s="8">
        <f>F225+G225+H225+I225</f>
        <v>466677.60000000003</v>
      </c>
      <c r="F225" s="8">
        <f t="shared" si="22"/>
        <v>355191.9</v>
      </c>
      <c r="G225" s="8">
        <f t="shared" si="22"/>
        <v>91816.2</v>
      </c>
      <c r="H225" s="8">
        <f t="shared" si="22"/>
        <v>19669.5</v>
      </c>
      <c r="I225" s="8">
        <f t="shared" si="22"/>
        <v>0</v>
      </c>
      <c r="J225" s="824"/>
      <c r="K225" s="822"/>
    </row>
    <row r="226" spans="1:11" s="2" customFormat="1" ht="15.95" customHeight="1">
      <c r="A226" s="753"/>
      <c r="B226" s="820"/>
      <c r="C226" s="755"/>
      <c r="D226" s="314">
        <v>2020</v>
      </c>
      <c r="E226" s="8">
        <f>F226+G226+H226+I226</f>
        <v>118914.2</v>
      </c>
      <c r="F226" s="8">
        <f t="shared" si="22"/>
        <v>118914.2</v>
      </c>
      <c r="G226" s="8">
        <f t="shared" si="22"/>
        <v>0</v>
      </c>
      <c r="H226" s="8">
        <f t="shared" si="22"/>
        <v>0</v>
      </c>
      <c r="I226" s="8">
        <f t="shared" si="22"/>
        <v>0</v>
      </c>
      <c r="J226" s="824"/>
      <c r="K226" s="822"/>
    </row>
    <row r="227" spans="1:11" s="2" customFormat="1" ht="15" hidden="1" customHeight="1">
      <c r="A227" s="763" t="s">
        <v>79</v>
      </c>
      <c r="B227" s="820" t="s">
        <v>83</v>
      </c>
      <c r="C227" s="755" t="s">
        <v>160</v>
      </c>
      <c r="D227" s="314" t="s">
        <v>8</v>
      </c>
      <c r="E227" s="8">
        <f t="shared" ref="E227:E261" si="23">SUM(F227:I227)</f>
        <v>25587.5</v>
      </c>
      <c r="F227" s="8">
        <f>SUM(F228:F232)</f>
        <v>25587.5</v>
      </c>
      <c r="G227" s="8">
        <f>SUM(G228:G232)</f>
        <v>0</v>
      </c>
      <c r="H227" s="8">
        <f>SUM(H228:H232)</f>
        <v>0</v>
      </c>
      <c r="I227" s="8">
        <f>SUM(I228:I232)</f>
        <v>0</v>
      </c>
      <c r="J227" s="824" t="s">
        <v>161</v>
      </c>
      <c r="K227" s="822" t="s">
        <v>85</v>
      </c>
    </row>
    <row r="228" spans="1:11" s="2" customFormat="1" hidden="1">
      <c r="A228" s="753"/>
      <c r="B228" s="820"/>
      <c r="C228" s="755"/>
      <c r="D228" s="314">
        <v>2016</v>
      </c>
      <c r="E228" s="8">
        <f t="shared" si="23"/>
        <v>25587.5</v>
      </c>
      <c r="F228" s="9">
        <v>25587.5</v>
      </c>
      <c r="G228" s="9">
        <v>0</v>
      </c>
      <c r="H228" s="9">
        <v>0</v>
      </c>
      <c r="I228" s="9">
        <v>0</v>
      </c>
      <c r="J228" s="824"/>
      <c r="K228" s="822"/>
    </row>
    <row r="229" spans="1:11" s="2" customFormat="1" hidden="1">
      <c r="A229" s="753"/>
      <c r="B229" s="820"/>
      <c r="C229" s="755"/>
      <c r="D229" s="314">
        <v>2017</v>
      </c>
      <c r="E229" s="8">
        <f t="shared" si="23"/>
        <v>0</v>
      </c>
      <c r="F229" s="9">
        <v>0</v>
      </c>
      <c r="G229" s="9">
        <v>0</v>
      </c>
      <c r="H229" s="9">
        <v>0</v>
      </c>
      <c r="I229" s="9">
        <v>0</v>
      </c>
      <c r="J229" s="824"/>
      <c r="K229" s="822"/>
    </row>
    <row r="230" spans="1:11" s="2" customFormat="1" hidden="1">
      <c r="A230" s="753"/>
      <c r="B230" s="820"/>
      <c r="C230" s="755"/>
      <c r="D230" s="314">
        <v>2018</v>
      </c>
      <c r="E230" s="8">
        <f t="shared" si="23"/>
        <v>0</v>
      </c>
      <c r="F230" s="9">
        <v>0</v>
      </c>
      <c r="G230" s="9">
        <v>0</v>
      </c>
      <c r="H230" s="9">
        <v>0</v>
      </c>
      <c r="I230" s="9">
        <v>0</v>
      </c>
      <c r="J230" s="824"/>
      <c r="K230" s="822"/>
    </row>
    <row r="231" spans="1:11" s="2" customFormat="1" hidden="1">
      <c r="A231" s="753"/>
      <c r="B231" s="820"/>
      <c r="C231" s="755"/>
      <c r="D231" s="314">
        <v>2019</v>
      </c>
      <c r="E231" s="8">
        <f>SUM(F231:I231)</f>
        <v>0</v>
      </c>
      <c r="F231" s="9">
        <v>0</v>
      </c>
      <c r="G231" s="9">
        <v>0</v>
      </c>
      <c r="H231" s="9">
        <v>0</v>
      </c>
      <c r="I231" s="9">
        <v>0</v>
      </c>
      <c r="J231" s="824"/>
      <c r="K231" s="822"/>
    </row>
    <row r="232" spans="1:11" s="2" customFormat="1" hidden="1">
      <c r="A232" s="753"/>
      <c r="B232" s="820"/>
      <c r="C232" s="755"/>
      <c r="D232" s="314">
        <v>2020</v>
      </c>
      <c r="E232" s="8">
        <f>SUM(F232:I232)</f>
        <v>0</v>
      </c>
      <c r="F232" s="9">
        <v>0</v>
      </c>
      <c r="G232" s="9">
        <v>0</v>
      </c>
      <c r="H232" s="9">
        <v>0</v>
      </c>
      <c r="I232" s="9">
        <v>0</v>
      </c>
      <c r="J232" s="824"/>
      <c r="K232" s="822"/>
    </row>
    <row r="233" spans="1:11" s="10" customFormat="1" ht="13.5" customHeight="1">
      <c r="A233" s="763" t="s">
        <v>215</v>
      </c>
      <c r="B233" s="820" t="s">
        <v>216</v>
      </c>
      <c r="C233" s="755" t="s">
        <v>86</v>
      </c>
      <c r="D233" s="314" t="s">
        <v>8</v>
      </c>
      <c r="E233" s="8">
        <f t="shared" ref="E233:E238" si="24">SUM(F233:I233)</f>
        <v>20227.5</v>
      </c>
      <c r="F233" s="8">
        <f>SUM(F234:F238)</f>
        <v>20227.5</v>
      </c>
      <c r="G233" s="8">
        <f>SUM(G234:G238)</f>
        <v>0</v>
      </c>
      <c r="H233" s="8">
        <f>SUM(H234:H238)</f>
        <v>0</v>
      </c>
      <c r="I233" s="8">
        <f>SUM(I234:I238)</f>
        <v>0</v>
      </c>
      <c r="J233" s="824" t="s">
        <v>87</v>
      </c>
      <c r="K233" s="822" t="s">
        <v>26</v>
      </c>
    </row>
    <row r="234" spans="1:11" s="10" customFormat="1" ht="13.5" customHeight="1">
      <c r="A234" s="753"/>
      <c r="B234" s="820"/>
      <c r="C234" s="755"/>
      <c r="D234" s="314">
        <v>2016</v>
      </c>
      <c r="E234" s="8">
        <f t="shared" si="24"/>
        <v>3750</v>
      </c>
      <c r="F234" s="11">
        <v>3750</v>
      </c>
      <c r="G234" s="9">
        <v>0</v>
      </c>
      <c r="H234" s="9">
        <v>0</v>
      </c>
      <c r="I234" s="9">
        <v>0</v>
      </c>
      <c r="J234" s="824"/>
      <c r="K234" s="822"/>
    </row>
    <row r="235" spans="1:11" s="10" customFormat="1" ht="13.5" customHeight="1">
      <c r="A235" s="753"/>
      <c r="B235" s="820"/>
      <c r="C235" s="755"/>
      <c r="D235" s="314">
        <v>2017</v>
      </c>
      <c r="E235" s="8">
        <f t="shared" si="24"/>
        <v>4500</v>
      </c>
      <c r="F235" s="11">
        <v>4500</v>
      </c>
      <c r="G235" s="9">
        <v>0</v>
      </c>
      <c r="H235" s="9">
        <v>0</v>
      </c>
      <c r="I235" s="9">
        <v>0</v>
      </c>
      <c r="J235" s="824"/>
      <c r="K235" s="822"/>
    </row>
    <row r="236" spans="1:11" s="12" customFormat="1" ht="14.25" customHeight="1">
      <c r="A236" s="753"/>
      <c r="B236" s="820"/>
      <c r="C236" s="755"/>
      <c r="D236" s="314">
        <v>2018</v>
      </c>
      <c r="E236" s="8">
        <f>SUM(F236:I236)</f>
        <v>2977.5</v>
      </c>
      <c r="F236" s="11">
        <v>2977.5</v>
      </c>
      <c r="G236" s="9">
        <v>0</v>
      </c>
      <c r="H236" s="9">
        <v>0</v>
      </c>
      <c r="I236" s="9">
        <v>0</v>
      </c>
      <c r="J236" s="824"/>
      <c r="K236" s="822"/>
    </row>
    <row r="237" spans="1:11" s="12" customFormat="1" ht="14.25" customHeight="1">
      <c r="A237" s="753"/>
      <c r="B237" s="820"/>
      <c r="C237" s="755"/>
      <c r="D237" s="314">
        <v>2019</v>
      </c>
      <c r="E237" s="8">
        <f t="shared" si="24"/>
        <v>4500</v>
      </c>
      <c r="F237" s="11">
        <v>4500</v>
      </c>
      <c r="G237" s="9">
        <v>0</v>
      </c>
      <c r="H237" s="9">
        <v>0</v>
      </c>
      <c r="I237" s="9">
        <v>0</v>
      </c>
      <c r="J237" s="824"/>
      <c r="K237" s="822"/>
    </row>
    <row r="238" spans="1:11" s="12" customFormat="1" ht="14.25" customHeight="1">
      <c r="A238" s="753"/>
      <c r="B238" s="820"/>
      <c r="C238" s="755"/>
      <c r="D238" s="314">
        <v>2020</v>
      </c>
      <c r="E238" s="8">
        <f t="shared" si="24"/>
        <v>4500</v>
      </c>
      <c r="F238" s="11">
        <v>4500</v>
      </c>
      <c r="G238" s="9">
        <v>0</v>
      </c>
      <c r="H238" s="9">
        <v>0</v>
      </c>
      <c r="I238" s="9">
        <v>0</v>
      </c>
      <c r="J238" s="824"/>
      <c r="K238" s="822"/>
    </row>
    <row r="239" spans="1:11" s="10" customFormat="1" ht="14.25" customHeight="1">
      <c r="A239" s="753" t="s">
        <v>217</v>
      </c>
      <c r="B239" s="820" t="s">
        <v>446</v>
      </c>
      <c r="C239" s="755" t="s">
        <v>162</v>
      </c>
      <c r="D239" s="314" t="s">
        <v>8</v>
      </c>
      <c r="E239" s="8">
        <f t="shared" si="23"/>
        <v>37454.800000000003</v>
      </c>
      <c r="F239" s="8">
        <f>SUM(F240:F244)</f>
        <v>31774.799999999999</v>
      </c>
      <c r="G239" s="8">
        <f>SUM(G240:G244)</f>
        <v>5680</v>
      </c>
      <c r="H239" s="8">
        <f>SUM(H240:H244)</f>
        <v>0</v>
      </c>
      <c r="I239" s="8">
        <f>SUM(I240:I244)</f>
        <v>0</v>
      </c>
      <c r="J239" s="824" t="s">
        <v>447</v>
      </c>
      <c r="K239" s="822" t="s">
        <v>89</v>
      </c>
    </row>
    <row r="240" spans="1:11" s="10" customFormat="1" ht="13.5" customHeight="1">
      <c r="A240" s="753"/>
      <c r="B240" s="820"/>
      <c r="C240" s="755"/>
      <c r="D240" s="314">
        <v>2016</v>
      </c>
      <c r="E240" s="8">
        <f t="shared" si="23"/>
        <v>1866</v>
      </c>
      <c r="F240" s="9">
        <v>1866</v>
      </c>
      <c r="G240" s="9">
        <v>0</v>
      </c>
      <c r="H240" s="9">
        <v>0</v>
      </c>
      <c r="I240" s="9">
        <v>0</v>
      </c>
      <c r="J240" s="824"/>
      <c r="K240" s="822"/>
    </row>
    <row r="241" spans="1:11" s="10" customFormat="1" ht="13.5" customHeight="1">
      <c r="A241" s="753"/>
      <c r="B241" s="820"/>
      <c r="C241" s="755"/>
      <c r="D241" s="314">
        <v>2017</v>
      </c>
      <c r="E241" s="8">
        <f t="shared" si="23"/>
        <v>99</v>
      </c>
      <c r="F241" s="9">
        <v>99</v>
      </c>
      <c r="G241" s="9">
        <v>0</v>
      </c>
      <c r="H241" s="9">
        <v>0</v>
      </c>
      <c r="I241" s="9">
        <v>0</v>
      </c>
      <c r="J241" s="824"/>
      <c r="K241" s="822"/>
    </row>
    <row r="242" spans="1:11" s="12" customFormat="1" ht="14.25" customHeight="1">
      <c r="A242" s="753"/>
      <c r="B242" s="820"/>
      <c r="C242" s="755"/>
      <c r="D242" s="314">
        <v>2018</v>
      </c>
      <c r="E242" s="8">
        <f t="shared" si="23"/>
        <v>27489.8</v>
      </c>
      <c r="F242" s="9">
        <v>27489.8</v>
      </c>
      <c r="G242" s="9">
        <v>0</v>
      </c>
      <c r="H242" s="9">
        <v>0</v>
      </c>
      <c r="I242" s="9">
        <v>0</v>
      </c>
      <c r="J242" s="824"/>
      <c r="K242" s="822"/>
    </row>
    <row r="243" spans="1:11" s="12" customFormat="1" ht="14.25" customHeight="1">
      <c r="A243" s="753"/>
      <c r="B243" s="820"/>
      <c r="C243" s="755"/>
      <c r="D243" s="314">
        <v>2019</v>
      </c>
      <c r="E243" s="8">
        <f>SUM(F243:I243)</f>
        <v>8000</v>
      </c>
      <c r="F243" s="9">
        <v>2320</v>
      </c>
      <c r="G243" s="9">
        <v>5680</v>
      </c>
      <c r="H243" s="9">
        <v>0</v>
      </c>
      <c r="I243" s="9">
        <v>0</v>
      </c>
      <c r="J243" s="824"/>
      <c r="K243" s="822"/>
    </row>
    <row r="244" spans="1:11" s="12" customFormat="1" ht="14.25" customHeight="1">
      <c r="A244" s="753"/>
      <c r="B244" s="820"/>
      <c r="C244" s="755"/>
      <c r="D244" s="314">
        <v>2020</v>
      </c>
      <c r="E244" s="8">
        <f>SUM(F244:I244)</f>
        <v>0</v>
      </c>
      <c r="F244" s="9">
        <v>0</v>
      </c>
      <c r="G244" s="9">
        <v>0</v>
      </c>
      <c r="H244" s="9">
        <v>0</v>
      </c>
      <c r="I244" s="9">
        <v>0</v>
      </c>
      <c r="J244" s="824"/>
      <c r="K244" s="822"/>
    </row>
    <row r="245" spans="1:11" s="10" customFormat="1" ht="13.5" customHeight="1">
      <c r="A245" s="753" t="s">
        <v>218</v>
      </c>
      <c r="B245" s="820" t="s">
        <v>287</v>
      </c>
      <c r="C245" s="755" t="s">
        <v>162</v>
      </c>
      <c r="D245" s="314" t="s">
        <v>8</v>
      </c>
      <c r="E245" s="8">
        <f t="shared" si="23"/>
        <v>192414</v>
      </c>
      <c r="F245" s="8">
        <f>SUM(F246:F250)</f>
        <v>71625.2</v>
      </c>
      <c r="G245" s="8">
        <f>SUM(G246:G250)</f>
        <v>59557.9</v>
      </c>
      <c r="H245" s="8">
        <f>SUM(H246:H250)</f>
        <v>61230.9</v>
      </c>
      <c r="I245" s="8">
        <f>SUM(I246:I250)</f>
        <v>0</v>
      </c>
      <c r="J245" s="824" t="s">
        <v>288</v>
      </c>
      <c r="K245" s="822" t="s">
        <v>90</v>
      </c>
    </row>
    <row r="246" spans="1:11" s="10" customFormat="1" ht="13.5" customHeight="1">
      <c r="A246" s="753"/>
      <c r="B246" s="820"/>
      <c r="C246" s="755"/>
      <c r="D246" s="314">
        <v>2016</v>
      </c>
      <c r="E246" s="8">
        <f t="shared" si="23"/>
        <v>4600</v>
      </c>
      <c r="F246" s="9">
        <v>2300</v>
      </c>
      <c r="G246" s="9">
        <v>0</v>
      </c>
      <c r="H246" s="9">
        <v>2300</v>
      </c>
      <c r="I246" s="9">
        <v>0</v>
      </c>
      <c r="J246" s="824"/>
      <c r="K246" s="822"/>
    </row>
    <row r="247" spans="1:11" s="10" customFormat="1" ht="13.5" customHeight="1">
      <c r="A247" s="753"/>
      <c r="B247" s="820"/>
      <c r="C247" s="755"/>
      <c r="D247" s="314">
        <v>2017</v>
      </c>
      <c r="E247" s="8">
        <f t="shared" si="23"/>
        <v>22593.3</v>
      </c>
      <c r="F247" s="9">
        <v>20000</v>
      </c>
      <c r="G247" s="9">
        <v>0</v>
      </c>
      <c r="H247" s="9">
        <v>2593.3000000000002</v>
      </c>
      <c r="I247" s="9">
        <v>0</v>
      </c>
      <c r="J247" s="824"/>
      <c r="K247" s="822"/>
    </row>
    <row r="248" spans="1:11" s="12" customFormat="1" ht="14.25" customHeight="1">
      <c r="A248" s="753"/>
      <c r="B248" s="820"/>
      <c r="C248" s="755"/>
      <c r="D248" s="314">
        <v>2018</v>
      </c>
      <c r="E248" s="8">
        <f t="shared" si="23"/>
        <v>64220.7</v>
      </c>
      <c r="F248" s="9">
        <v>24998.7</v>
      </c>
      <c r="G248" s="9">
        <v>0</v>
      </c>
      <c r="H248" s="9">
        <v>39222</v>
      </c>
      <c r="I248" s="9">
        <v>0</v>
      </c>
      <c r="J248" s="824"/>
      <c r="K248" s="822"/>
    </row>
    <row r="249" spans="1:11" s="12" customFormat="1" ht="14.25" customHeight="1">
      <c r="A249" s="753"/>
      <c r="B249" s="820"/>
      <c r="C249" s="755"/>
      <c r="D249" s="314">
        <v>2019</v>
      </c>
      <c r="E249" s="8">
        <f t="shared" si="23"/>
        <v>101000</v>
      </c>
      <c r="F249" s="9">
        <v>24326.5</v>
      </c>
      <c r="G249" s="9">
        <v>59557.9</v>
      </c>
      <c r="H249" s="9">
        <v>17115.599999999999</v>
      </c>
      <c r="I249" s="9">
        <v>0</v>
      </c>
      <c r="J249" s="824"/>
      <c r="K249" s="822"/>
    </row>
    <row r="250" spans="1:11" s="12" customFormat="1" ht="14.25" customHeight="1">
      <c r="A250" s="753"/>
      <c r="B250" s="820"/>
      <c r="C250" s="755"/>
      <c r="D250" s="314">
        <v>2020</v>
      </c>
      <c r="E250" s="8">
        <f t="shared" si="23"/>
        <v>0</v>
      </c>
      <c r="F250" s="9"/>
      <c r="G250" s="9">
        <v>0</v>
      </c>
      <c r="H250" s="9"/>
      <c r="I250" s="9">
        <v>0</v>
      </c>
      <c r="J250" s="824"/>
      <c r="K250" s="822"/>
    </row>
    <row r="251" spans="1:11" s="10" customFormat="1" ht="13.5" hidden="1" customHeight="1">
      <c r="A251" s="753" t="s">
        <v>220</v>
      </c>
      <c r="B251" s="820" t="s">
        <v>91</v>
      </c>
      <c r="C251" s="755" t="s">
        <v>30</v>
      </c>
      <c r="D251" s="314" t="s">
        <v>8</v>
      </c>
      <c r="E251" s="8">
        <f t="shared" si="23"/>
        <v>47000</v>
      </c>
      <c r="F251" s="8">
        <f>SUM(F252:F256)</f>
        <v>0</v>
      </c>
      <c r="G251" s="8">
        <f>SUM(G252:G256)</f>
        <v>0</v>
      </c>
      <c r="H251" s="8">
        <f>SUM(H252:H256)</f>
        <v>22000</v>
      </c>
      <c r="I251" s="8">
        <f>SUM(I252:I256)</f>
        <v>25000</v>
      </c>
      <c r="J251" s="824" t="s">
        <v>92</v>
      </c>
      <c r="K251" s="822" t="s">
        <v>93</v>
      </c>
    </row>
    <row r="252" spans="1:11" s="10" customFormat="1" ht="13.5" hidden="1" customHeight="1">
      <c r="A252" s="753"/>
      <c r="B252" s="820"/>
      <c r="C252" s="755"/>
      <c r="D252" s="314">
        <v>2016</v>
      </c>
      <c r="E252" s="8">
        <f t="shared" si="23"/>
        <v>25000</v>
      </c>
      <c r="F252" s="9">
        <v>0</v>
      </c>
      <c r="G252" s="9">
        <v>0</v>
      </c>
      <c r="H252" s="9">
        <v>15000</v>
      </c>
      <c r="I252" s="9">
        <v>10000</v>
      </c>
      <c r="J252" s="824"/>
      <c r="K252" s="822"/>
    </row>
    <row r="253" spans="1:11" s="10" customFormat="1" ht="13.5" hidden="1" customHeight="1">
      <c r="A253" s="753"/>
      <c r="B253" s="820"/>
      <c r="C253" s="755"/>
      <c r="D253" s="314">
        <v>2017</v>
      </c>
      <c r="E253" s="8">
        <f t="shared" si="23"/>
        <v>22000</v>
      </c>
      <c r="F253" s="9">
        <v>0</v>
      </c>
      <c r="G253" s="9">
        <v>0</v>
      </c>
      <c r="H253" s="9">
        <v>7000</v>
      </c>
      <c r="I253" s="9">
        <v>15000</v>
      </c>
      <c r="J253" s="824"/>
      <c r="K253" s="822"/>
    </row>
    <row r="254" spans="1:11" s="12" customFormat="1" ht="14.25" hidden="1" customHeight="1">
      <c r="A254" s="753"/>
      <c r="B254" s="820"/>
      <c r="C254" s="755"/>
      <c r="D254" s="314">
        <v>2018</v>
      </c>
      <c r="E254" s="8">
        <f t="shared" si="23"/>
        <v>0</v>
      </c>
      <c r="F254" s="9">
        <v>0</v>
      </c>
      <c r="G254" s="9">
        <v>0</v>
      </c>
      <c r="H254" s="9">
        <v>0</v>
      </c>
      <c r="I254" s="9">
        <v>0</v>
      </c>
      <c r="J254" s="824"/>
      <c r="K254" s="822"/>
    </row>
    <row r="255" spans="1:11" s="12" customFormat="1" ht="14.25" hidden="1" customHeight="1">
      <c r="A255" s="753"/>
      <c r="B255" s="820"/>
      <c r="C255" s="755"/>
      <c r="D255" s="314">
        <v>2019</v>
      </c>
      <c r="E255" s="8">
        <f t="shared" si="23"/>
        <v>0</v>
      </c>
      <c r="F255" s="9">
        <v>0</v>
      </c>
      <c r="G255" s="9">
        <v>0</v>
      </c>
      <c r="H255" s="9">
        <v>0</v>
      </c>
      <c r="I255" s="9">
        <v>0</v>
      </c>
      <c r="J255" s="824"/>
      <c r="K255" s="822"/>
    </row>
    <row r="256" spans="1:11" s="12" customFormat="1" ht="14.25" hidden="1" customHeight="1">
      <c r="A256" s="753"/>
      <c r="B256" s="820"/>
      <c r="C256" s="755"/>
      <c r="D256" s="314">
        <v>2020</v>
      </c>
      <c r="E256" s="8">
        <f>SUM(F256:I256)</f>
        <v>0</v>
      </c>
      <c r="F256" s="9">
        <v>0</v>
      </c>
      <c r="G256" s="9">
        <v>0</v>
      </c>
      <c r="H256" s="9">
        <v>0</v>
      </c>
      <c r="I256" s="9">
        <v>0</v>
      </c>
      <c r="J256" s="824"/>
      <c r="K256" s="822"/>
    </row>
    <row r="257" spans="1:11" s="10" customFormat="1" ht="13.5" hidden="1" customHeight="1">
      <c r="A257" s="753" t="s">
        <v>221</v>
      </c>
      <c r="B257" s="820" t="s">
        <v>289</v>
      </c>
      <c r="C257" s="755" t="s">
        <v>95</v>
      </c>
      <c r="D257" s="314" t="s">
        <v>8</v>
      </c>
      <c r="E257" s="8">
        <f t="shared" si="23"/>
        <v>4798.2</v>
      </c>
      <c r="F257" s="8">
        <f>SUM(F258:F262)</f>
        <v>4798.2</v>
      </c>
      <c r="G257" s="8">
        <f>SUM(G258:G262)</f>
        <v>0</v>
      </c>
      <c r="H257" s="8">
        <f>SUM(H258:H262)</f>
        <v>0</v>
      </c>
      <c r="I257" s="8">
        <f>SUM(I258:I262)</f>
        <v>0</v>
      </c>
      <c r="J257" s="824" t="s">
        <v>96</v>
      </c>
      <c r="K257" s="822" t="s">
        <v>89</v>
      </c>
    </row>
    <row r="258" spans="1:11" s="10" customFormat="1" ht="13.5" hidden="1" customHeight="1">
      <c r="A258" s="753"/>
      <c r="B258" s="820"/>
      <c r="C258" s="755"/>
      <c r="D258" s="314">
        <v>2016</v>
      </c>
      <c r="E258" s="8">
        <f t="shared" si="23"/>
        <v>4798.2</v>
      </c>
      <c r="F258" s="9">
        <v>4798.2</v>
      </c>
      <c r="G258" s="9">
        <v>0</v>
      </c>
      <c r="H258" s="9">
        <v>0</v>
      </c>
      <c r="I258" s="9">
        <v>0</v>
      </c>
      <c r="J258" s="824"/>
      <c r="K258" s="822"/>
    </row>
    <row r="259" spans="1:11" s="10" customFormat="1" ht="13.5" hidden="1" customHeight="1">
      <c r="A259" s="753"/>
      <c r="B259" s="820"/>
      <c r="C259" s="755"/>
      <c r="D259" s="314">
        <v>2017</v>
      </c>
      <c r="E259" s="8">
        <f t="shared" si="23"/>
        <v>0</v>
      </c>
      <c r="F259" s="9">
        <v>0</v>
      </c>
      <c r="G259" s="9">
        <v>0</v>
      </c>
      <c r="H259" s="9">
        <v>0</v>
      </c>
      <c r="I259" s="9">
        <v>0</v>
      </c>
      <c r="J259" s="824"/>
      <c r="K259" s="822"/>
    </row>
    <row r="260" spans="1:11" s="12" customFormat="1" ht="14.25" hidden="1" customHeight="1">
      <c r="A260" s="753"/>
      <c r="B260" s="820"/>
      <c r="C260" s="755"/>
      <c r="D260" s="314">
        <v>2018</v>
      </c>
      <c r="E260" s="8">
        <f t="shared" si="23"/>
        <v>0</v>
      </c>
      <c r="F260" s="9">
        <v>0</v>
      </c>
      <c r="G260" s="9">
        <v>0</v>
      </c>
      <c r="H260" s="9">
        <v>0</v>
      </c>
      <c r="I260" s="9">
        <v>0</v>
      </c>
      <c r="J260" s="824"/>
      <c r="K260" s="822"/>
    </row>
    <row r="261" spans="1:11" s="12" customFormat="1" ht="14.25" hidden="1" customHeight="1">
      <c r="A261" s="753"/>
      <c r="B261" s="820"/>
      <c r="C261" s="755"/>
      <c r="D261" s="314">
        <v>2019</v>
      </c>
      <c r="E261" s="8">
        <f t="shared" si="23"/>
        <v>0</v>
      </c>
      <c r="F261" s="9">
        <v>0</v>
      </c>
      <c r="G261" s="9">
        <v>0</v>
      </c>
      <c r="H261" s="9">
        <v>0</v>
      </c>
      <c r="I261" s="9">
        <v>0</v>
      </c>
      <c r="J261" s="824"/>
      <c r="K261" s="822"/>
    </row>
    <row r="262" spans="1:11" s="12" customFormat="1" ht="14.25" hidden="1" customHeight="1">
      <c r="A262" s="753"/>
      <c r="B262" s="820"/>
      <c r="C262" s="755"/>
      <c r="D262" s="314">
        <v>2020</v>
      </c>
      <c r="E262" s="8">
        <f>SUM(F262:I262)</f>
        <v>0</v>
      </c>
      <c r="F262" s="9">
        <v>0</v>
      </c>
      <c r="G262" s="9">
        <v>0</v>
      </c>
      <c r="H262" s="9">
        <v>0</v>
      </c>
      <c r="I262" s="9">
        <v>0</v>
      </c>
      <c r="J262" s="824"/>
      <c r="K262" s="822"/>
    </row>
    <row r="263" spans="1:11" s="10" customFormat="1" ht="15.6" customHeight="1">
      <c r="A263" s="753" t="s">
        <v>222</v>
      </c>
      <c r="B263" s="820" t="s">
        <v>145</v>
      </c>
      <c r="C263" s="755" t="s">
        <v>448</v>
      </c>
      <c r="D263" s="314" t="s">
        <v>8</v>
      </c>
      <c r="E263" s="8">
        <f t="shared" ref="E263:E268" si="25">SUM(F263:I263)</f>
        <v>294328</v>
      </c>
      <c r="F263" s="8">
        <f>SUM(F264:F268)</f>
        <v>274328</v>
      </c>
      <c r="G263" s="8">
        <f>SUM(G264:G268)</f>
        <v>20000</v>
      </c>
      <c r="H263" s="8">
        <f>SUM(H264:H268)</f>
        <v>0</v>
      </c>
      <c r="I263" s="8">
        <f>SUM(I264:I268)</f>
        <v>0</v>
      </c>
      <c r="J263" s="824" t="s">
        <v>449</v>
      </c>
      <c r="K263" s="822" t="s">
        <v>89</v>
      </c>
    </row>
    <row r="264" spans="1:11" s="10" customFormat="1" ht="15.6" customHeight="1">
      <c r="A264" s="753"/>
      <c r="B264" s="820"/>
      <c r="C264" s="755"/>
      <c r="D264" s="314">
        <v>2016</v>
      </c>
      <c r="E264" s="8">
        <f t="shared" si="25"/>
        <v>0</v>
      </c>
      <c r="F264" s="9">
        <v>0</v>
      </c>
      <c r="G264" s="9">
        <v>0</v>
      </c>
      <c r="H264" s="9">
        <v>0</v>
      </c>
      <c r="I264" s="9">
        <v>0</v>
      </c>
      <c r="J264" s="824"/>
      <c r="K264" s="822"/>
    </row>
    <row r="265" spans="1:11" s="10" customFormat="1" ht="15.6" customHeight="1">
      <c r="A265" s="753"/>
      <c r="B265" s="820"/>
      <c r="C265" s="755"/>
      <c r="D265" s="314">
        <v>2017</v>
      </c>
      <c r="E265" s="8">
        <f t="shared" si="25"/>
        <v>0</v>
      </c>
      <c r="F265" s="9">
        <v>0</v>
      </c>
      <c r="G265" s="9">
        <v>0</v>
      </c>
      <c r="H265" s="9">
        <v>0</v>
      </c>
      <c r="I265" s="9">
        <v>0</v>
      </c>
      <c r="J265" s="824"/>
      <c r="K265" s="822"/>
    </row>
    <row r="266" spans="1:11" s="12" customFormat="1" ht="15.6" customHeight="1">
      <c r="A266" s="753"/>
      <c r="B266" s="820"/>
      <c r="C266" s="755"/>
      <c r="D266" s="314">
        <v>2018</v>
      </c>
      <c r="E266" s="8">
        <f t="shared" si="25"/>
        <v>91385.2</v>
      </c>
      <c r="F266" s="9">
        <v>91385.2</v>
      </c>
      <c r="G266" s="9">
        <v>0</v>
      </c>
      <c r="H266" s="9">
        <v>0</v>
      </c>
      <c r="I266" s="9">
        <v>0</v>
      </c>
      <c r="J266" s="824"/>
      <c r="K266" s="822"/>
    </row>
    <row r="267" spans="1:11" s="12" customFormat="1" ht="15.6" customHeight="1">
      <c r="A267" s="753"/>
      <c r="B267" s="820"/>
      <c r="C267" s="755"/>
      <c r="D267" s="314">
        <v>2019</v>
      </c>
      <c r="E267" s="8">
        <f t="shared" si="25"/>
        <v>88528.6</v>
      </c>
      <c r="F267" s="9">
        <f>'[6]ПЛ реализации спорт'!F267</f>
        <v>68528.600000000006</v>
      </c>
      <c r="G267" s="9">
        <f>'[6]ПЛ реализации спорт'!G267</f>
        <v>20000</v>
      </c>
      <c r="H267" s="9">
        <v>0</v>
      </c>
      <c r="I267" s="9">
        <v>0</v>
      </c>
      <c r="J267" s="824"/>
      <c r="K267" s="822"/>
    </row>
    <row r="268" spans="1:11" s="12" customFormat="1" ht="15.6" customHeight="1">
      <c r="A268" s="753"/>
      <c r="B268" s="820"/>
      <c r="C268" s="755"/>
      <c r="D268" s="314">
        <v>2020</v>
      </c>
      <c r="E268" s="8">
        <f t="shared" si="25"/>
        <v>114414.2</v>
      </c>
      <c r="F268" s="9">
        <v>114414.2</v>
      </c>
      <c r="G268" s="9">
        <v>0</v>
      </c>
      <c r="H268" s="9">
        <v>0</v>
      </c>
      <c r="I268" s="9">
        <v>0</v>
      </c>
      <c r="J268" s="824"/>
      <c r="K268" s="822"/>
    </row>
    <row r="269" spans="1:11" s="10" customFormat="1" ht="13.5" customHeight="1">
      <c r="A269" s="753" t="s">
        <v>227</v>
      </c>
      <c r="B269" s="820" t="s">
        <v>97</v>
      </c>
      <c r="C269" s="755" t="s">
        <v>162</v>
      </c>
      <c r="D269" s="314" t="s">
        <v>8</v>
      </c>
      <c r="E269" s="8">
        <f>SUM(F269:I269)</f>
        <v>556585.80000000005</v>
      </c>
      <c r="F269" s="8">
        <f>SUM(F270:F274)</f>
        <v>503479.8</v>
      </c>
      <c r="G269" s="8">
        <f>SUM(G270:G274)</f>
        <v>0</v>
      </c>
      <c r="H269" s="8">
        <f>SUM(H270:H274)</f>
        <v>42306</v>
      </c>
      <c r="I269" s="8">
        <f>SUM(I270:I274)</f>
        <v>10800</v>
      </c>
      <c r="J269" s="824" t="s">
        <v>290</v>
      </c>
      <c r="K269" s="822" t="s">
        <v>98</v>
      </c>
    </row>
    <row r="270" spans="1:11" s="10" customFormat="1" ht="13.5" customHeight="1">
      <c r="A270" s="753"/>
      <c r="B270" s="820"/>
      <c r="C270" s="755"/>
      <c r="D270" s="314">
        <v>2016</v>
      </c>
      <c r="E270" s="8">
        <f>SUM(F270:I270)</f>
        <v>10800</v>
      </c>
      <c r="F270" s="9">
        <v>0</v>
      </c>
      <c r="G270" s="9">
        <v>0</v>
      </c>
      <c r="H270" s="9">
        <v>0</v>
      </c>
      <c r="I270" s="9">
        <v>10800</v>
      </c>
      <c r="J270" s="824"/>
      <c r="K270" s="822"/>
    </row>
    <row r="271" spans="1:11" s="10" customFormat="1" ht="13.5" customHeight="1">
      <c r="A271" s="753"/>
      <c r="B271" s="820"/>
      <c r="C271" s="755"/>
      <c r="D271" s="314">
        <v>2017</v>
      </c>
      <c r="E271" s="8">
        <f>SUM(F271:I271)</f>
        <v>75200</v>
      </c>
      <c r="F271" s="9">
        <v>37600</v>
      </c>
      <c r="G271" s="9">
        <v>0</v>
      </c>
      <c r="H271" s="9">
        <v>37600</v>
      </c>
      <c r="I271" s="9">
        <v>0</v>
      </c>
      <c r="J271" s="824"/>
      <c r="K271" s="822"/>
    </row>
    <row r="272" spans="1:11" s="12" customFormat="1" ht="14.25" customHeight="1">
      <c r="A272" s="753"/>
      <c r="B272" s="820"/>
      <c r="C272" s="755"/>
      <c r="D272" s="314">
        <v>2018</v>
      </c>
      <c r="E272" s="8">
        <f>SUM(F272:I272)</f>
        <v>215202.1</v>
      </c>
      <c r="F272" s="9">
        <v>213050</v>
      </c>
      <c r="G272" s="9">
        <v>0</v>
      </c>
      <c r="H272" s="9">
        <v>2152.1</v>
      </c>
      <c r="I272" s="9">
        <v>0</v>
      </c>
      <c r="J272" s="824"/>
      <c r="K272" s="822"/>
    </row>
    <row r="273" spans="1:11" s="12" customFormat="1" ht="14.25" customHeight="1">
      <c r="A273" s="753"/>
      <c r="B273" s="820"/>
      <c r="C273" s="755"/>
      <c r="D273" s="314">
        <v>2019</v>
      </c>
      <c r="E273" s="8">
        <f>SUM(F273:I273)</f>
        <v>255383.69999999998</v>
      </c>
      <c r="F273" s="9">
        <v>252829.8</v>
      </c>
      <c r="G273" s="9">
        <v>0</v>
      </c>
      <c r="H273" s="9">
        <v>2553.9</v>
      </c>
      <c r="I273" s="9">
        <v>0</v>
      </c>
      <c r="J273" s="824"/>
      <c r="K273" s="822"/>
    </row>
    <row r="274" spans="1:11" s="12" customFormat="1" ht="14.25" customHeight="1">
      <c r="A274" s="753"/>
      <c r="B274" s="820"/>
      <c r="C274" s="755"/>
      <c r="D274" s="314">
        <v>2020</v>
      </c>
      <c r="E274" s="8">
        <f t="shared" ref="E274:E305" si="26">SUM(F274:I274)</f>
        <v>0</v>
      </c>
      <c r="F274" s="9">
        <v>0</v>
      </c>
      <c r="G274" s="9">
        <v>0</v>
      </c>
      <c r="H274" s="9">
        <v>0</v>
      </c>
      <c r="I274" s="9">
        <v>0</v>
      </c>
      <c r="J274" s="824"/>
      <c r="K274" s="822"/>
    </row>
    <row r="275" spans="1:11" s="10" customFormat="1" ht="13.5" hidden="1" customHeight="1">
      <c r="A275" s="753" t="s">
        <v>228</v>
      </c>
      <c r="B275" s="820" t="s">
        <v>99</v>
      </c>
      <c r="C275" s="755" t="s">
        <v>291</v>
      </c>
      <c r="D275" s="314" t="s">
        <v>8</v>
      </c>
      <c r="E275" s="8">
        <f t="shared" si="26"/>
        <v>23652.400000000001</v>
      </c>
      <c r="F275" s="8">
        <f>SUM(F276:F280)</f>
        <v>23652.400000000001</v>
      </c>
      <c r="G275" s="8">
        <f>SUM(G276:G280)</f>
        <v>0</v>
      </c>
      <c r="H275" s="8">
        <f>SUM(H276:H280)</f>
        <v>0</v>
      </c>
      <c r="I275" s="8">
        <f>SUM(I276:I280)</f>
        <v>0</v>
      </c>
      <c r="J275" s="824" t="s">
        <v>292</v>
      </c>
      <c r="K275" s="822" t="s">
        <v>100</v>
      </c>
    </row>
    <row r="276" spans="1:11" s="10" customFormat="1" ht="13.5" hidden="1" customHeight="1">
      <c r="A276" s="753"/>
      <c r="B276" s="820"/>
      <c r="C276" s="755"/>
      <c r="D276" s="314">
        <v>2016</v>
      </c>
      <c r="E276" s="8">
        <f t="shared" si="26"/>
        <v>0</v>
      </c>
      <c r="F276" s="9">
        <v>0</v>
      </c>
      <c r="G276" s="9">
        <v>0</v>
      </c>
      <c r="H276" s="9">
        <v>0</v>
      </c>
      <c r="I276" s="9">
        <v>0</v>
      </c>
      <c r="J276" s="824"/>
      <c r="K276" s="822"/>
    </row>
    <row r="277" spans="1:11" s="10" customFormat="1" ht="13.5" hidden="1" customHeight="1">
      <c r="A277" s="753"/>
      <c r="B277" s="820"/>
      <c r="C277" s="755"/>
      <c r="D277" s="314">
        <v>2017</v>
      </c>
      <c r="E277" s="8">
        <f t="shared" si="26"/>
        <v>18567.400000000001</v>
      </c>
      <c r="F277" s="9">
        <v>18567.400000000001</v>
      </c>
      <c r="G277" s="9">
        <v>0</v>
      </c>
      <c r="H277" s="9">
        <v>0</v>
      </c>
      <c r="I277" s="9">
        <v>0</v>
      </c>
      <c r="J277" s="824"/>
      <c r="K277" s="822"/>
    </row>
    <row r="278" spans="1:11" s="12" customFormat="1" ht="14.25" hidden="1" customHeight="1">
      <c r="A278" s="753"/>
      <c r="B278" s="820"/>
      <c r="C278" s="755"/>
      <c r="D278" s="314">
        <v>2018</v>
      </c>
      <c r="E278" s="8">
        <f t="shared" si="26"/>
        <v>5085</v>
      </c>
      <c r="F278" s="9">
        <v>5085</v>
      </c>
      <c r="G278" s="9">
        <v>0</v>
      </c>
      <c r="H278" s="9">
        <v>0</v>
      </c>
      <c r="I278" s="9">
        <v>0</v>
      </c>
      <c r="J278" s="824"/>
      <c r="K278" s="822"/>
    </row>
    <row r="279" spans="1:11" s="12" customFormat="1" ht="14.25" hidden="1" customHeight="1">
      <c r="A279" s="753"/>
      <c r="B279" s="820"/>
      <c r="C279" s="755"/>
      <c r="D279" s="314">
        <v>2019</v>
      </c>
      <c r="E279" s="8">
        <f t="shared" si="26"/>
        <v>0</v>
      </c>
      <c r="F279" s="9">
        <v>0</v>
      </c>
      <c r="G279" s="9">
        <v>0</v>
      </c>
      <c r="H279" s="9">
        <v>0</v>
      </c>
      <c r="I279" s="9">
        <v>0</v>
      </c>
      <c r="J279" s="824"/>
      <c r="K279" s="822"/>
    </row>
    <row r="280" spans="1:11" s="12" customFormat="1" ht="14.25" hidden="1" customHeight="1">
      <c r="A280" s="753"/>
      <c r="B280" s="820"/>
      <c r="C280" s="755"/>
      <c r="D280" s="314">
        <v>2020</v>
      </c>
      <c r="E280" s="8">
        <f t="shared" si="26"/>
        <v>0</v>
      </c>
      <c r="F280" s="9">
        <v>0</v>
      </c>
      <c r="G280" s="9">
        <v>0</v>
      </c>
      <c r="H280" s="9">
        <v>0</v>
      </c>
      <c r="I280" s="9">
        <v>0</v>
      </c>
      <c r="J280" s="824"/>
      <c r="K280" s="822"/>
    </row>
    <row r="281" spans="1:11" s="10" customFormat="1" ht="13.5" hidden="1" customHeight="1">
      <c r="A281" s="753" t="s">
        <v>229</v>
      </c>
      <c r="B281" s="820" t="s">
        <v>101</v>
      </c>
      <c r="C281" s="755">
        <v>2017</v>
      </c>
      <c r="D281" s="314" t="s">
        <v>8</v>
      </c>
      <c r="E281" s="8">
        <f t="shared" si="26"/>
        <v>4913</v>
      </c>
      <c r="F281" s="8">
        <f>SUM(F282:F286)</f>
        <v>4913</v>
      </c>
      <c r="G281" s="8">
        <f>SUM(G282:G286)</f>
        <v>0</v>
      </c>
      <c r="H281" s="8">
        <f>SUM(H282:H286)</f>
        <v>0</v>
      </c>
      <c r="I281" s="8">
        <f>SUM(I282:I286)</f>
        <v>0</v>
      </c>
      <c r="J281" s="824" t="s">
        <v>163</v>
      </c>
      <c r="K281" s="822" t="s">
        <v>89</v>
      </c>
    </row>
    <row r="282" spans="1:11" s="10" customFormat="1" ht="13.5" hidden="1" customHeight="1">
      <c r="A282" s="753"/>
      <c r="B282" s="820"/>
      <c r="C282" s="755"/>
      <c r="D282" s="314">
        <v>2016</v>
      </c>
      <c r="E282" s="8">
        <f t="shared" si="26"/>
        <v>0</v>
      </c>
      <c r="F282" s="9">
        <v>0</v>
      </c>
      <c r="G282" s="9">
        <v>0</v>
      </c>
      <c r="H282" s="9">
        <v>0</v>
      </c>
      <c r="I282" s="9">
        <v>0</v>
      </c>
      <c r="J282" s="824"/>
      <c r="K282" s="822"/>
    </row>
    <row r="283" spans="1:11" s="10" customFormat="1" ht="13.5" hidden="1" customHeight="1">
      <c r="A283" s="753"/>
      <c r="B283" s="820"/>
      <c r="C283" s="755"/>
      <c r="D283" s="314">
        <v>2017</v>
      </c>
      <c r="E283" s="8">
        <f t="shared" si="26"/>
        <v>4913</v>
      </c>
      <c r="F283" s="9">
        <v>4913</v>
      </c>
      <c r="G283" s="9">
        <v>0</v>
      </c>
      <c r="H283" s="9">
        <v>0</v>
      </c>
      <c r="I283" s="9">
        <v>0</v>
      </c>
      <c r="J283" s="824"/>
      <c r="K283" s="822"/>
    </row>
    <row r="284" spans="1:11" s="12" customFormat="1" ht="14.25" hidden="1" customHeight="1">
      <c r="A284" s="753"/>
      <c r="B284" s="820"/>
      <c r="C284" s="755"/>
      <c r="D284" s="314">
        <v>2018</v>
      </c>
      <c r="E284" s="8">
        <f t="shared" si="26"/>
        <v>0</v>
      </c>
      <c r="F284" s="9">
        <v>0</v>
      </c>
      <c r="G284" s="9">
        <v>0</v>
      </c>
      <c r="H284" s="9">
        <v>0</v>
      </c>
      <c r="I284" s="9">
        <v>0</v>
      </c>
      <c r="J284" s="824"/>
      <c r="K284" s="822"/>
    </row>
    <row r="285" spans="1:11" s="12" customFormat="1" ht="14.25" hidden="1" customHeight="1">
      <c r="A285" s="753"/>
      <c r="B285" s="820"/>
      <c r="C285" s="755"/>
      <c r="D285" s="314">
        <v>2019</v>
      </c>
      <c r="E285" s="8">
        <f t="shared" si="26"/>
        <v>0</v>
      </c>
      <c r="F285" s="9">
        <v>0</v>
      </c>
      <c r="G285" s="9">
        <v>0</v>
      </c>
      <c r="H285" s="9">
        <v>0</v>
      </c>
      <c r="I285" s="9">
        <v>0</v>
      </c>
      <c r="J285" s="824"/>
      <c r="K285" s="822"/>
    </row>
    <row r="286" spans="1:11" s="12" customFormat="1" ht="14.25" hidden="1" customHeight="1">
      <c r="A286" s="753"/>
      <c r="B286" s="820"/>
      <c r="C286" s="755"/>
      <c r="D286" s="314">
        <v>2020</v>
      </c>
      <c r="E286" s="8">
        <f t="shared" si="26"/>
        <v>0</v>
      </c>
      <c r="F286" s="9">
        <v>0</v>
      </c>
      <c r="G286" s="9">
        <v>0</v>
      </c>
      <c r="H286" s="9">
        <v>0</v>
      </c>
      <c r="I286" s="9">
        <v>0</v>
      </c>
      <c r="J286" s="824"/>
      <c r="K286" s="822"/>
    </row>
    <row r="287" spans="1:11" s="10" customFormat="1" ht="1.5" customHeight="1">
      <c r="A287" s="753" t="s">
        <v>230</v>
      </c>
      <c r="B287" s="820" t="s">
        <v>231</v>
      </c>
      <c r="C287" s="755">
        <v>2018</v>
      </c>
      <c r="D287" s="314" t="s">
        <v>8</v>
      </c>
      <c r="E287" s="8">
        <f t="shared" si="26"/>
        <v>473.6</v>
      </c>
      <c r="F287" s="8">
        <f>SUM(F288:F292)</f>
        <v>473.6</v>
      </c>
      <c r="G287" s="8">
        <f>SUM(G288:G292)</f>
        <v>0</v>
      </c>
      <c r="H287" s="8">
        <f>SUM(H288:H292)</f>
        <v>0</v>
      </c>
      <c r="I287" s="8">
        <f>SUM(I288:I292)</f>
        <v>0</v>
      </c>
      <c r="J287" s="824" t="s">
        <v>450</v>
      </c>
      <c r="K287" s="822" t="s">
        <v>293</v>
      </c>
    </row>
    <row r="288" spans="1:11" s="10" customFormat="1" ht="13.5" hidden="1" customHeight="1">
      <c r="A288" s="753"/>
      <c r="B288" s="820"/>
      <c r="C288" s="755"/>
      <c r="D288" s="314">
        <v>2016</v>
      </c>
      <c r="E288" s="8">
        <f t="shared" si="26"/>
        <v>0</v>
      </c>
      <c r="F288" s="9">
        <v>0</v>
      </c>
      <c r="G288" s="9">
        <v>0</v>
      </c>
      <c r="H288" s="9">
        <v>0</v>
      </c>
      <c r="I288" s="9">
        <v>0</v>
      </c>
      <c r="J288" s="824"/>
      <c r="K288" s="822"/>
    </row>
    <row r="289" spans="1:11" s="10" customFormat="1" ht="13.5" hidden="1" customHeight="1">
      <c r="A289" s="753"/>
      <c r="B289" s="820"/>
      <c r="C289" s="755"/>
      <c r="D289" s="314">
        <v>2017</v>
      </c>
      <c r="E289" s="8">
        <f t="shared" si="26"/>
        <v>0</v>
      </c>
      <c r="F289" s="9">
        <v>0</v>
      </c>
      <c r="G289" s="9">
        <v>0</v>
      </c>
      <c r="H289" s="9">
        <v>0</v>
      </c>
      <c r="I289" s="9">
        <v>0</v>
      </c>
      <c r="J289" s="824"/>
      <c r="K289" s="822"/>
    </row>
    <row r="290" spans="1:11" s="12" customFormat="1" ht="14.25" hidden="1" customHeight="1">
      <c r="A290" s="753"/>
      <c r="B290" s="820"/>
      <c r="C290" s="755"/>
      <c r="D290" s="314">
        <v>2018</v>
      </c>
      <c r="E290" s="8">
        <f t="shared" si="26"/>
        <v>473.6</v>
      </c>
      <c r="F290" s="9">
        <v>473.6</v>
      </c>
      <c r="G290" s="9">
        <v>0</v>
      </c>
      <c r="H290" s="9">
        <v>0</v>
      </c>
      <c r="I290" s="9">
        <v>0</v>
      </c>
      <c r="J290" s="824"/>
      <c r="K290" s="822"/>
    </row>
    <row r="291" spans="1:11" s="12" customFormat="1" ht="14.25" hidden="1" customHeight="1">
      <c r="A291" s="753"/>
      <c r="B291" s="820"/>
      <c r="C291" s="755"/>
      <c r="D291" s="314">
        <v>2019</v>
      </c>
      <c r="E291" s="8">
        <f t="shared" si="26"/>
        <v>0</v>
      </c>
      <c r="F291" s="9">
        <v>0</v>
      </c>
      <c r="G291" s="9">
        <v>0</v>
      </c>
      <c r="H291" s="9">
        <v>0</v>
      </c>
      <c r="I291" s="9">
        <v>0</v>
      </c>
      <c r="J291" s="824"/>
      <c r="K291" s="822"/>
    </row>
    <row r="292" spans="1:11" s="12" customFormat="1" ht="14.25" hidden="1" customHeight="1">
      <c r="A292" s="753"/>
      <c r="B292" s="820"/>
      <c r="C292" s="755"/>
      <c r="D292" s="314">
        <v>2020</v>
      </c>
      <c r="E292" s="8">
        <f t="shared" si="26"/>
        <v>0</v>
      </c>
      <c r="F292" s="9">
        <v>0</v>
      </c>
      <c r="G292" s="9">
        <v>0</v>
      </c>
      <c r="H292" s="9">
        <v>0</v>
      </c>
      <c r="I292" s="9">
        <v>0</v>
      </c>
      <c r="J292" s="824"/>
      <c r="K292" s="822"/>
    </row>
    <row r="293" spans="1:11" s="10" customFormat="1" ht="13.5" hidden="1" customHeight="1">
      <c r="A293" s="753" t="s">
        <v>234</v>
      </c>
      <c r="B293" s="820" t="s">
        <v>235</v>
      </c>
      <c r="C293" s="755">
        <v>2020</v>
      </c>
      <c r="D293" s="314" t="s">
        <v>8</v>
      </c>
      <c r="E293" s="8">
        <f t="shared" si="26"/>
        <v>0</v>
      </c>
      <c r="F293" s="8">
        <f>SUM(F294:F298)</f>
        <v>0</v>
      </c>
      <c r="G293" s="8">
        <f>SUM(G294:G298)</f>
        <v>0</v>
      </c>
      <c r="H293" s="8">
        <f>SUM(H294:H298)</f>
        <v>0</v>
      </c>
      <c r="I293" s="8">
        <f>SUM(I294:I298)</f>
        <v>0</v>
      </c>
      <c r="J293" s="824" t="s">
        <v>236</v>
      </c>
      <c r="K293" s="822" t="s">
        <v>169</v>
      </c>
    </row>
    <row r="294" spans="1:11" s="10" customFormat="1" ht="13.5" hidden="1" customHeight="1">
      <c r="A294" s="753"/>
      <c r="B294" s="820"/>
      <c r="C294" s="755"/>
      <c r="D294" s="314">
        <v>2016</v>
      </c>
      <c r="E294" s="8">
        <f t="shared" si="26"/>
        <v>0</v>
      </c>
      <c r="F294" s="9">
        <v>0</v>
      </c>
      <c r="G294" s="9">
        <v>0</v>
      </c>
      <c r="H294" s="9">
        <v>0</v>
      </c>
      <c r="I294" s="9">
        <v>0</v>
      </c>
      <c r="J294" s="824"/>
      <c r="K294" s="822"/>
    </row>
    <row r="295" spans="1:11" s="10" customFormat="1" ht="13.5" hidden="1" customHeight="1">
      <c r="A295" s="753"/>
      <c r="B295" s="820"/>
      <c r="C295" s="755"/>
      <c r="D295" s="314">
        <v>2017</v>
      </c>
      <c r="E295" s="8">
        <f t="shared" si="26"/>
        <v>0</v>
      </c>
      <c r="F295" s="9">
        <v>0</v>
      </c>
      <c r="G295" s="9">
        <v>0</v>
      </c>
      <c r="H295" s="9">
        <v>0</v>
      </c>
      <c r="I295" s="9">
        <v>0</v>
      </c>
      <c r="J295" s="824"/>
      <c r="K295" s="822"/>
    </row>
    <row r="296" spans="1:11" s="12" customFormat="1" ht="14.25" hidden="1" customHeight="1">
      <c r="A296" s="753"/>
      <c r="B296" s="820"/>
      <c r="C296" s="755"/>
      <c r="D296" s="314">
        <v>2018</v>
      </c>
      <c r="E296" s="8">
        <f t="shared" si="26"/>
        <v>0</v>
      </c>
      <c r="F296" s="9">
        <v>0</v>
      </c>
      <c r="G296" s="9">
        <v>0</v>
      </c>
      <c r="H296" s="9">
        <v>0</v>
      </c>
      <c r="I296" s="9">
        <v>0</v>
      </c>
      <c r="J296" s="824"/>
      <c r="K296" s="822"/>
    </row>
    <row r="297" spans="1:11" s="12" customFormat="1" ht="14.25" hidden="1" customHeight="1">
      <c r="A297" s="753"/>
      <c r="B297" s="820"/>
      <c r="C297" s="755"/>
      <c r="D297" s="314">
        <v>2019</v>
      </c>
      <c r="E297" s="8">
        <f t="shared" si="26"/>
        <v>0</v>
      </c>
      <c r="F297" s="9">
        <v>0</v>
      </c>
      <c r="G297" s="9">
        <v>0</v>
      </c>
      <c r="H297" s="9">
        <v>0</v>
      </c>
      <c r="I297" s="9">
        <v>0</v>
      </c>
      <c r="J297" s="824"/>
      <c r="K297" s="822"/>
    </row>
    <row r="298" spans="1:11" s="12" customFormat="1" ht="14.25" hidden="1" customHeight="1">
      <c r="A298" s="753"/>
      <c r="B298" s="820"/>
      <c r="C298" s="755"/>
      <c r="D298" s="314">
        <v>2020</v>
      </c>
      <c r="E298" s="8">
        <f t="shared" si="26"/>
        <v>0</v>
      </c>
      <c r="F298" s="9">
        <v>0</v>
      </c>
      <c r="G298" s="9">
        <v>0</v>
      </c>
      <c r="H298" s="9">
        <v>0</v>
      </c>
      <c r="I298" s="9">
        <v>0</v>
      </c>
      <c r="J298" s="824"/>
      <c r="K298" s="822"/>
    </row>
    <row r="299" spans="1:11" s="10" customFormat="1" ht="14.25" customHeight="1">
      <c r="A299" s="753" t="s">
        <v>451</v>
      </c>
      <c r="B299" s="820" t="s">
        <v>452</v>
      </c>
      <c r="C299" s="755">
        <v>2019</v>
      </c>
      <c r="D299" s="314" t="s">
        <v>8</v>
      </c>
      <c r="E299" s="8">
        <f t="shared" si="26"/>
        <v>9265.2999999999993</v>
      </c>
      <c r="F299" s="8">
        <f>SUM(F300:F304)</f>
        <v>2687</v>
      </c>
      <c r="G299" s="8">
        <f>SUM(G300:G304)</f>
        <v>6578.3</v>
      </c>
      <c r="H299" s="8">
        <f>SUM(H300:H304)</f>
        <v>0</v>
      </c>
      <c r="I299" s="8">
        <f>SUM(I300:I304)</f>
        <v>0</v>
      </c>
      <c r="J299" s="824" t="s">
        <v>453</v>
      </c>
      <c r="K299" s="822" t="s">
        <v>89</v>
      </c>
    </row>
    <row r="300" spans="1:11" s="10" customFormat="1" ht="13.5" customHeight="1">
      <c r="A300" s="753"/>
      <c r="B300" s="820"/>
      <c r="C300" s="755"/>
      <c r="D300" s="314">
        <v>2016</v>
      </c>
      <c r="E300" s="8">
        <f t="shared" si="26"/>
        <v>0</v>
      </c>
      <c r="F300" s="9">
        <v>0</v>
      </c>
      <c r="G300" s="9">
        <v>0</v>
      </c>
      <c r="H300" s="9">
        <v>0</v>
      </c>
      <c r="I300" s="9">
        <v>0</v>
      </c>
      <c r="J300" s="824"/>
      <c r="K300" s="822"/>
    </row>
    <row r="301" spans="1:11" s="10" customFormat="1" ht="13.5" customHeight="1">
      <c r="A301" s="753"/>
      <c r="B301" s="820"/>
      <c r="C301" s="755"/>
      <c r="D301" s="314">
        <v>2017</v>
      </c>
      <c r="E301" s="8">
        <f t="shared" si="26"/>
        <v>0</v>
      </c>
      <c r="F301" s="9">
        <v>0</v>
      </c>
      <c r="G301" s="9">
        <v>0</v>
      </c>
      <c r="H301" s="9">
        <v>0</v>
      </c>
      <c r="I301" s="9">
        <v>0</v>
      </c>
      <c r="J301" s="824"/>
      <c r="K301" s="822"/>
    </row>
    <row r="302" spans="1:11" s="12" customFormat="1" ht="14.25" customHeight="1">
      <c r="A302" s="753"/>
      <c r="B302" s="820"/>
      <c r="C302" s="755"/>
      <c r="D302" s="314">
        <v>2018</v>
      </c>
      <c r="E302" s="8">
        <f t="shared" si="26"/>
        <v>0</v>
      </c>
      <c r="F302" s="9">
        <v>0</v>
      </c>
      <c r="G302" s="9">
        <v>0</v>
      </c>
      <c r="H302" s="9">
        <v>0</v>
      </c>
      <c r="I302" s="9">
        <v>0</v>
      </c>
      <c r="J302" s="824"/>
      <c r="K302" s="822"/>
    </row>
    <row r="303" spans="1:11" s="12" customFormat="1" ht="14.25" customHeight="1">
      <c r="A303" s="753"/>
      <c r="B303" s="820"/>
      <c r="C303" s="755"/>
      <c r="D303" s="314">
        <v>2019</v>
      </c>
      <c r="E303" s="8">
        <f>SUM(F303:I303)</f>
        <v>9265.2999999999993</v>
      </c>
      <c r="F303" s="9">
        <v>2687</v>
      </c>
      <c r="G303" s="9">
        <v>6578.3</v>
      </c>
      <c r="H303" s="9">
        <v>0</v>
      </c>
      <c r="I303" s="9">
        <v>0</v>
      </c>
      <c r="J303" s="824"/>
      <c r="K303" s="822"/>
    </row>
    <row r="304" spans="1:11" s="12" customFormat="1" ht="14.25" customHeight="1">
      <c r="A304" s="753"/>
      <c r="B304" s="820"/>
      <c r="C304" s="755"/>
      <c r="D304" s="314">
        <v>2020</v>
      </c>
      <c r="E304" s="8">
        <f>SUM(F304:I304)</f>
        <v>0</v>
      </c>
      <c r="F304" s="9">
        <v>0</v>
      </c>
      <c r="G304" s="9">
        <v>0</v>
      </c>
      <c r="H304" s="9">
        <v>0</v>
      </c>
      <c r="I304" s="9">
        <v>0</v>
      </c>
      <c r="J304" s="824"/>
      <c r="K304" s="822"/>
    </row>
    <row r="305" spans="1:12" ht="15" customHeight="1">
      <c r="A305" s="753" t="s">
        <v>179</v>
      </c>
      <c r="B305" s="820" t="s">
        <v>103</v>
      </c>
      <c r="C305" s="755" t="s">
        <v>14</v>
      </c>
      <c r="D305" s="314" t="s">
        <v>8</v>
      </c>
      <c r="E305" s="8">
        <f t="shared" si="26"/>
        <v>276787.20000000001</v>
      </c>
      <c r="F305" s="8">
        <f>SUM(F306:F310)</f>
        <v>240721.2</v>
      </c>
      <c r="G305" s="8">
        <f>SUM(G306:G310)</f>
        <v>22623</v>
      </c>
      <c r="H305" s="8">
        <f>SUM(H306:H310)</f>
        <v>13443</v>
      </c>
      <c r="I305" s="8">
        <f>SUM(I306:I310)</f>
        <v>0</v>
      </c>
      <c r="J305" s="824" t="s">
        <v>104</v>
      </c>
      <c r="K305" s="824" t="s">
        <v>105</v>
      </c>
      <c r="L305" s="761"/>
    </row>
    <row r="306" spans="1:12">
      <c r="A306" s="753"/>
      <c r="B306" s="820"/>
      <c r="C306" s="755"/>
      <c r="D306" s="314">
        <v>2016</v>
      </c>
      <c r="E306" s="8">
        <f t="shared" ref="E306:I310" si="27">E312+E318+E324+E330+E336+E342+E348+E354+E360+E366+E372+E378+E384+E390+E396+E402+E408+E414</f>
        <v>88741</v>
      </c>
      <c r="F306" s="8">
        <f t="shared" si="27"/>
        <v>73734.3</v>
      </c>
      <c r="G306" s="8">
        <f t="shared" si="27"/>
        <v>11357.5</v>
      </c>
      <c r="H306" s="8">
        <f t="shared" si="27"/>
        <v>3649.2</v>
      </c>
      <c r="I306" s="8">
        <f t="shared" si="27"/>
        <v>0</v>
      </c>
      <c r="J306" s="824"/>
      <c r="K306" s="824"/>
      <c r="L306" s="761"/>
    </row>
    <row r="307" spans="1:12">
      <c r="A307" s="753"/>
      <c r="B307" s="820"/>
      <c r="C307" s="755"/>
      <c r="D307" s="314">
        <v>2017</v>
      </c>
      <c r="E307" s="8">
        <f t="shared" si="27"/>
        <v>64251.9</v>
      </c>
      <c r="F307" s="8">
        <f t="shared" si="27"/>
        <v>50265.600000000006</v>
      </c>
      <c r="G307" s="8">
        <f t="shared" si="27"/>
        <v>11265.5</v>
      </c>
      <c r="H307" s="8">
        <f t="shared" si="27"/>
        <v>2720.8</v>
      </c>
      <c r="I307" s="8">
        <f t="shared" si="27"/>
        <v>0</v>
      </c>
      <c r="J307" s="824"/>
      <c r="K307" s="824"/>
      <c r="L307" s="761"/>
    </row>
    <row r="308" spans="1:12">
      <c r="A308" s="753"/>
      <c r="B308" s="820"/>
      <c r="C308" s="755"/>
      <c r="D308" s="314">
        <v>2018</v>
      </c>
      <c r="E308" s="8">
        <f t="shared" si="27"/>
        <v>47693.9</v>
      </c>
      <c r="F308" s="8">
        <f t="shared" si="27"/>
        <v>44995</v>
      </c>
      <c r="G308" s="8">
        <f t="shared" si="27"/>
        <v>0</v>
      </c>
      <c r="H308" s="8">
        <f t="shared" si="27"/>
        <v>2698.9</v>
      </c>
      <c r="I308" s="8">
        <f t="shared" si="27"/>
        <v>0</v>
      </c>
      <c r="J308" s="824"/>
      <c r="K308" s="824"/>
      <c r="L308" s="761"/>
    </row>
    <row r="309" spans="1:12">
      <c r="A309" s="753"/>
      <c r="B309" s="820"/>
      <c r="C309" s="755"/>
      <c r="D309" s="314">
        <v>2019</v>
      </c>
      <c r="E309" s="8">
        <f t="shared" si="27"/>
        <v>70100.399999999994</v>
      </c>
      <c r="F309" s="8">
        <f t="shared" si="27"/>
        <v>65726.3</v>
      </c>
      <c r="G309" s="8">
        <f t="shared" si="27"/>
        <v>0</v>
      </c>
      <c r="H309" s="8">
        <f t="shared" si="27"/>
        <v>4374.1000000000004</v>
      </c>
      <c r="I309" s="8">
        <f t="shared" si="27"/>
        <v>0</v>
      </c>
      <c r="J309" s="824"/>
      <c r="K309" s="824"/>
      <c r="L309" s="761"/>
    </row>
    <row r="310" spans="1:12">
      <c r="A310" s="753"/>
      <c r="B310" s="820"/>
      <c r="C310" s="755"/>
      <c r="D310" s="314">
        <v>2020</v>
      </c>
      <c r="E310" s="8">
        <f t="shared" si="27"/>
        <v>6000</v>
      </c>
      <c r="F310" s="8">
        <f t="shared" si="27"/>
        <v>6000</v>
      </c>
      <c r="G310" s="8">
        <f t="shared" si="27"/>
        <v>0</v>
      </c>
      <c r="H310" s="8">
        <f t="shared" si="27"/>
        <v>0</v>
      </c>
      <c r="I310" s="8">
        <f>I316+I322+I328+I334+I340+I346+I352+I358+I364+I370+I376+I382+I388+I394+I400+I406+I412+I418</f>
        <v>0</v>
      </c>
      <c r="J310" s="824"/>
      <c r="K310" s="824"/>
      <c r="L310" s="313"/>
    </row>
    <row r="311" spans="1:12" s="2" customFormat="1" ht="15" customHeight="1">
      <c r="A311" s="762" t="s">
        <v>102</v>
      </c>
      <c r="B311" s="825" t="s">
        <v>106</v>
      </c>
      <c r="C311" s="755" t="s">
        <v>14</v>
      </c>
      <c r="D311" s="51" t="s">
        <v>8</v>
      </c>
      <c r="E311" s="8">
        <f t="shared" ref="E311:E339" si="28">SUM(F311:I311)</f>
        <v>33000</v>
      </c>
      <c r="F311" s="8">
        <f>SUM(F312:F316)</f>
        <v>33000</v>
      </c>
      <c r="G311" s="8">
        <f>SUM(G312:G315)</f>
        <v>0</v>
      </c>
      <c r="H311" s="8">
        <f>SUM(H312:H315)</f>
        <v>0</v>
      </c>
      <c r="I311" s="8">
        <f>SUM(I312:I315)</f>
        <v>0</v>
      </c>
      <c r="J311" s="825" t="s">
        <v>107</v>
      </c>
      <c r="K311" s="824" t="s">
        <v>108</v>
      </c>
    </row>
    <row r="312" spans="1:12" s="2" customFormat="1">
      <c r="A312" s="762"/>
      <c r="B312" s="825"/>
      <c r="C312" s="755"/>
      <c r="D312" s="51">
        <v>2016</v>
      </c>
      <c r="E312" s="8">
        <f t="shared" si="28"/>
        <v>9000</v>
      </c>
      <c r="F312" s="13">
        <v>9000</v>
      </c>
      <c r="G312" s="14">
        <v>0</v>
      </c>
      <c r="H312" s="14">
        <v>0</v>
      </c>
      <c r="I312" s="14">
        <v>0</v>
      </c>
      <c r="J312" s="825"/>
      <c r="K312" s="824"/>
    </row>
    <row r="313" spans="1:12" s="2" customFormat="1">
      <c r="A313" s="762"/>
      <c r="B313" s="825"/>
      <c r="C313" s="755"/>
      <c r="D313" s="51">
        <v>2017</v>
      </c>
      <c r="E313" s="8">
        <f t="shared" si="28"/>
        <v>6000</v>
      </c>
      <c r="F313" s="13">
        <v>6000</v>
      </c>
      <c r="G313" s="14">
        <v>0</v>
      </c>
      <c r="H313" s="14">
        <v>0</v>
      </c>
      <c r="I313" s="14">
        <v>0</v>
      </c>
      <c r="J313" s="825"/>
      <c r="K313" s="824"/>
    </row>
    <row r="314" spans="1:12" s="2" customFormat="1">
      <c r="A314" s="762"/>
      <c r="B314" s="825"/>
      <c r="C314" s="755"/>
      <c r="D314" s="314">
        <v>2018</v>
      </c>
      <c r="E314" s="8">
        <f t="shared" si="28"/>
        <v>6000</v>
      </c>
      <c r="F314" s="13">
        <v>6000</v>
      </c>
      <c r="G314" s="14">
        <v>0</v>
      </c>
      <c r="H314" s="14">
        <v>0</v>
      </c>
      <c r="I314" s="14">
        <v>0</v>
      </c>
      <c r="J314" s="825"/>
      <c r="K314" s="824"/>
    </row>
    <row r="315" spans="1:12" s="2" customFormat="1">
      <c r="A315" s="762"/>
      <c r="B315" s="825"/>
      <c r="C315" s="755"/>
      <c r="D315" s="314">
        <v>2019</v>
      </c>
      <c r="E315" s="8">
        <f t="shared" si="28"/>
        <v>6000</v>
      </c>
      <c r="F315" s="13">
        <v>6000</v>
      </c>
      <c r="G315" s="14">
        <v>0</v>
      </c>
      <c r="H315" s="14">
        <v>0</v>
      </c>
      <c r="I315" s="14">
        <v>0</v>
      </c>
      <c r="J315" s="825"/>
      <c r="K315" s="824"/>
    </row>
    <row r="316" spans="1:12" s="2" customFormat="1" ht="15" customHeight="1">
      <c r="A316" s="762"/>
      <c r="B316" s="825"/>
      <c r="C316" s="755"/>
      <c r="D316" s="314">
        <v>2020</v>
      </c>
      <c r="E316" s="8">
        <f>SUM(F316:I316)</f>
        <v>6000</v>
      </c>
      <c r="F316" s="13">
        <v>6000</v>
      </c>
      <c r="G316" s="14">
        <v>0</v>
      </c>
      <c r="H316" s="14">
        <v>0</v>
      </c>
      <c r="I316" s="14">
        <v>0</v>
      </c>
      <c r="J316" s="825"/>
      <c r="K316" s="824"/>
    </row>
    <row r="317" spans="1:12" ht="15" hidden="1" customHeight="1">
      <c r="A317" s="762" t="s">
        <v>237</v>
      </c>
      <c r="B317" s="825" t="s">
        <v>109</v>
      </c>
      <c r="C317" s="762" t="s">
        <v>84</v>
      </c>
      <c r="D317" s="51" t="s">
        <v>8</v>
      </c>
      <c r="E317" s="8">
        <f t="shared" si="28"/>
        <v>37215.600000000006</v>
      </c>
      <c r="F317" s="8">
        <f>SUM(F318:F322)</f>
        <v>35354.800000000003</v>
      </c>
      <c r="G317" s="8">
        <f>SUM(G318:G322)</f>
        <v>0</v>
      </c>
      <c r="H317" s="8">
        <f>SUM(H318:H322)</f>
        <v>1860.8</v>
      </c>
      <c r="I317" s="8">
        <f>SUM(I318:I322)</f>
        <v>0</v>
      </c>
      <c r="J317" s="824" t="s">
        <v>164</v>
      </c>
      <c r="K317" s="822" t="s">
        <v>110</v>
      </c>
    </row>
    <row r="318" spans="1:12" hidden="1">
      <c r="A318" s="762"/>
      <c r="B318" s="825"/>
      <c r="C318" s="762"/>
      <c r="D318" s="51">
        <v>2016</v>
      </c>
      <c r="E318" s="8">
        <f t="shared" si="28"/>
        <v>37215.600000000006</v>
      </c>
      <c r="F318" s="9">
        <v>35354.800000000003</v>
      </c>
      <c r="G318" s="15">
        <v>0</v>
      </c>
      <c r="H318" s="9">
        <v>1860.8</v>
      </c>
      <c r="I318" s="15">
        <v>0</v>
      </c>
      <c r="J318" s="824"/>
      <c r="K318" s="822"/>
    </row>
    <row r="319" spans="1:12" hidden="1">
      <c r="A319" s="762"/>
      <c r="B319" s="825"/>
      <c r="C319" s="762"/>
      <c r="D319" s="51">
        <v>2017</v>
      </c>
      <c r="E319" s="8">
        <f t="shared" si="28"/>
        <v>0</v>
      </c>
      <c r="F319" s="15">
        <v>0</v>
      </c>
      <c r="G319" s="15">
        <v>0</v>
      </c>
      <c r="H319" s="15">
        <v>0</v>
      </c>
      <c r="I319" s="15">
        <v>0</v>
      </c>
      <c r="J319" s="824"/>
      <c r="K319" s="822"/>
    </row>
    <row r="320" spans="1:12" hidden="1">
      <c r="A320" s="762"/>
      <c r="B320" s="825"/>
      <c r="C320" s="762"/>
      <c r="D320" s="314">
        <v>2018</v>
      </c>
      <c r="E320" s="8">
        <f t="shared" si="28"/>
        <v>0</v>
      </c>
      <c r="F320" s="15">
        <v>0</v>
      </c>
      <c r="G320" s="15">
        <v>0</v>
      </c>
      <c r="H320" s="15">
        <v>0</v>
      </c>
      <c r="I320" s="15">
        <v>0</v>
      </c>
      <c r="J320" s="824"/>
      <c r="K320" s="822"/>
    </row>
    <row r="321" spans="1:11" hidden="1">
      <c r="A321" s="762"/>
      <c r="B321" s="825"/>
      <c r="C321" s="762"/>
      <c r="D321" s="314">
        <v>2019</v>
      </c>
      <c r="E321" s="8">
        <f t="shared" si="28"/>
        <v>0</v>
      </c>
      <c r="F321" s="9">
        <v>0</v>
      </c>
      <c r="G321" s="9">
        <v>0</v>
      </c>
      <c r="H321" s="9">
        <v>0</v>
      </c>
      <c r="I321" s="9">
        <v>0</v>
      </c>
      <c r="J321" s="824"/>
      <c r="K321" s="822"/>
    </row>
    <row r="322" spans="1:11" hidden="1">
      <c r="A322" s="762"/>
      <c r="B322" s="825"/>
      <c r="C322" s="762"/>
      <c r="D322" s="314">
        <v>2020</v>
      </c>
      <c r="E322" s="8">
        <f>SUM(F322:I322)</f>
        <v>0</v>
      </c>
      <c r="F322" s="9">
        <v>0</v>
      </c>
      <c r="G322" s="9">
        <v>0</v>
      </c>
      <c r="H322" s="9">
        <v>0</v>
      </c>
      <c r="I322" s="9">
        <v>0</v>
      </c>
      <c r="J322" s="824"/>
      <c r="K322" s="822"/>
    </row>
    <row r="323" spans="1:11" ht="15" hidden="1" customHeight="1">
      <c r="A323" s="762" t="s">
        <v>238</v>
      </c>
      <c r="B323" s="825" t="s">
        <v>111</v>
      </c>
      <c r="C323" s="762">
        <v>2016</v>
      </c>
      <c r="D323" s="51" t="s">
        <v>8</v>
      </c>
      <c r="E323" s="8">
        <f t="shared" si="28"/>
        <v>2392.1</v>
      </c>
      <c r="F323" s="8">
        <f>SUM(F324:F328)</f>
        <v>2272.5</v>
      </c>
      <c r="G323" s="8">
        <f>SUM(G324:G328)</f>
        <v>0</v>
      </c>
      <c r="H323" s="8">
        <f>SUM(H324:H328)</f>
        <v>119.6</v>
      </c>
      <c r="I323" s="8">
        <f>SUM(I324:I328)</f>
        <v>0</v>
      </c>
      <c r="J323" s="824" t="s">
        <v>112</v>
      </c>
      <c r="K323" s="822" t="s">
        <v>113</v>
      </c>
    </row>
    <row r="324" spans="1:11" hidden="1">
      <c r="A324" s="762"/>
      <c r="B324" s="825"/>
      <c r="C324" s="762"/>
      <c r="D324" s="51">
        <v>2016</v>
      </c>
      <c r="E324" s="8">
        <f t="shared" si="28"/>
        <v>2392.1</v>
      </c>
      <c r="F324" s="9">
        <v>2272.5</v>
      </c>
      <c r="G324" s="9">
        <v>0</v>
      </c>
      <c r="H324" s="9">
        <v>119.6</v>
      </c>
      <c r="I324" s="9">
        <v>0</v>
      </c>
      <c r="J324" s="824"/>
      <c r="K324" s="822"/>
    </row>
    <row r="325" spans="1:11" hidden="1">
      <c r="A325" s="762"/>
      <c r="B325" s="825"/>
      <c r="C325" s="762"/>
      <c r="D325" s="51">
        <v>2017</v>
      </c>
      <c r="E325" s="8">
        <f t="shared" si="28"/>
        <v>0</v>
      </c>
      <c r="F325" s="9">
        <v>0</v>
      </c>
      <c r="G325" s="9">
        <v>0</v>
      </c>
      <c r="H325" s="9">
        <v>0</v>
      </c>
      <c r="I325" s="9">
        <v>0</v>
      </c>
      <c r="J325" s="824"/>
      <c r="K325" s="822"/>
    </row>
    <row r="326" spans="1:11" hidden="1">
      <c r="A326" s="762"/>
      <c r="B326" s="825"/>
      <c r="C326" s="762"/>
      <c r="D326" s="314">
        <v>2018</v>
      </c>
      <c r="E326" s="8">
        <f t="shared" si="28"/>
        <v>0</v>
      </c>
      <c r="F326" s="9">
        <v>0</v>
      </c>
      <c r="G326" s="9">
        <v>0</v>
      </c>
      <c r="H326" s="9">
        <v>0</v>
      </c>
      <c r="I326" s="9">
        <v>0</v>
      </c>
      <c r="J326" s="824"/>
      <c r="K326" s="822"/>
    </row>
    <row r="327" spans="1:11" hidden="1">
      <c r="A327" s="762"/>
      <c r="B327" s="825"/>
      <c r="C327" s="762"/>
      <c r="D327" s="314">
        <v>2019</v>
      </c>
      <c r="E327" s="8">
        <f t="shared" si="28"/>
        <v>0</v>
      </c>
      <c r="F327" s="9">
        <v>0</v>
      </c>
      <c r="G327" s="9">
        <v>0</v>
      </c>
      <c r="H327" s="9">
        <v>0</v>
      </c>
      <c r="I327" s="9">
        <v>0</v>
      </c>
      <c r="J327" s="824"/>
      <c r="K327" s="822"/>
    </row>
    <row r="328" spans="1:11" hidden="1">
      <c r="A328" s="762"/>
      <c r="B328" s="825"/>
      <c r="C328" s="762"/>
      <c r="D328" s="314">
        <v>2020</v>
      </c>
      <c r="E328" s="8">
        <f>SUM(F328:I328)</f>
        <v>0</v>
      </c>
      <c r="F328" s="9">
        <v>0</v>
      </c>
      <c r="G328" s="9">
        <v>0</v>
      </c>
      <c r="H328" s="9">
        <v>0</v>
      </c>
      <c r="I328" s="9">
        <v>0</v>
      </c>
      <c r="J328" s="824"/>
      <c r="K328" s="822"/>
    </row>
    <row r="329" spans="1:11" ht="15" hidden="1" customHeight="1">
      <c r="A329" s="762" t="s">
        <v>239</v>
      </c>
      <c r="B329" s="825" t="s">
        <v>114</v>
      </c>
      <c r="C329" s="762">
        <v>2016</v>
      </c>
      <c r="D329" s="51" t="s">
        <v>8</v>
      </c>
      <c r="E329" s="8">
        <f t="shared" si="28"/>
        <v>2156.7000000000003</v>
      </c>
      <c r="F329" s="8">
        <f>SUM(F330:F334)</f>
        <v>2048.9</v>
      </c>
      <c r="G329" s="8">
        <f>SUM(G330:G334)</f>
        <v>0</v>
      </c>
      <c r="H329" s="8">
        <f>SUM(H330:H334)</f>
        <v>107.8</v>
      </c>
      <c r="I329" s="8">
        <f>SUM(I330:I334)</f>
        <v>0</v>
      </c>
      <c r="J329" s="824" t="s">
        <v>115</v>
      </c>
      <c r="K329" s="822" t="s">
        <v>113</v>
      </c>
    </row>
    <row r="330" spans="1:11" hidden="1">
      <c r="A330" s="762"/>
      <c r="B330" s="825"/>
      <c r="C330" s="762"/>
      <c r="D330" s="51">
        <v>2016</v>
      </c>
      <c r="E330" s="8">
        <f t="shared" si="28"/>
        <v>2156.7000000000003</v>
      </c>
      <c r="F330" s="9">
        <v>2048.9</v>
      </c>
      <c r="G330" s="9">
        <v>0</v>
      </c>
      <c r="H330" s="9">
        <v>107.8</v>
      </c>
      <c r="I330" s="9">
        <v>0</v>
      </c>
      <c r="J330" s="824"/>
      <c r="K330" s="822"/>
    </row>
    <row r="331" spans="1:11" hidden="1">
      <c r="A331" s="762"/>
      <c r="B331" s="825"/>
      <c r="C331" s="762"/>
      <c r="D331" s="51">
        <v>2017</v>
      </c>
      <c r="E331" s="8">
        <f t="shared" si="28"/>
        <v>0</v>
      </c>
      <c r="F331" s="9">
        <v>0</v>
      </c>
      <c r="G331" s="9">
        <v>0</v>
      </c>
      <c r="H331" s="9">
        <v>0</v>
      </c>
      <c r="I331" s="9">
        <v>0</v>
      </c>
      <c r="J331" s="824"/>
      <c r="K331" s="822"/>
    </row>
    <row r="332" spans="1:11" hidden="1">
      <c r="A332" s="762"/>
      <c r="B332" s="825"/>
      <c r="C332" s="762"/>
      <c r="D332" s="314">
        <v>2018</v>
      </c>
      <c r="E332" s="8">
        <f t="shared" si="28"/>
        <v>0</v>
      </c>
      <c r="F332" s="9">
        <v>0</v>
      </c>
      <c r="G332" s="9">
        <v>0</v>
      </c>
      <c r="H332" s="9">
        <v>0</v>
      </c>
      <c r="I332" s="9">
        <v>0</v>
      </c>
      <c r="J332" s="824"/>
      <c r="K332" s="822"/>
    </row>
    <row r="333" spans="1:11" hidden="1">
      <c r="A333" s="762"/>
      <c r="B333" s="825"/>
      <c r="C333" s="762"/>
      <c r="D333" s="314">
        <v>2019</v>
      </c>
      <c r="E333" s="8">
        <f t="shared" si="28"/>
        <v>0</v>
      </c>
      <c r="F333" s="9">
        <v>0</v>
      </c>
      <c r="G333" s="9">
        <v>0</v>
      </c>
      <c r="H333" s="9">
        <v>0</v>
      </c>
      <c r="I333" s="9">
        <v>0</v>
      </c>
      <c r="J333" s="824"/>
      <c r="K333" s="822"/>
    </row>
    <row r="334" spans="1:11" hidden="1">
      <c r="A334" s="762"/>
      <c r="B334" s="825"/>
      <c r="C334" s="762"/>
      <c r="D334" s="314">
        <v>2020</v>
      </c>
      <c r="E334" s="8">
        <f>SUM(F334:I334)</f>
        <v>0</v>
      </c>
      <c r="F334" s="9">
        <v>0</v>
      </c>
      <c r="G334" s="9">
        <v>0</v>
      </c>
      <c r="H334" s="9">
        <v>0</v>
      </c>
      <c r="I334" s="9">
        <v>0</v>
      </c>
      <c r="J334" s="824"/>
      <c r="K334" s="822"/>
    </row>
    <row r="335" spans="1:11" ht="16.5" hidden="1" customHeight="1">
      <c r="A335" s="762" t="s">
        <v>240</v>
      </c>
      <c r="B335" s="825" t="s">
        <v>116</v>
      </c>
      <c r="C335" s="762">
        <v>2016</v>
      </c>
      <c r="D335" s="51" t="s">
        <v>8</v>
      </c>
      <c r="E335" s="8">
        <f t="shared" si="28"/>
        <v>5977.5</v>
      </c>
      <c r="F335" s="8">
        <f>SUM(F336:F340)</f>
        <v>5678.6</v>
      </c>
      <c r="G335" s="8">
        <f>SUM(G336:G340)</f>
        <v>0</v>
      </c>
      <c r="H335" s="8">
        <f>SUM(H336:H340)</f>
        <v>298.89999999999998</v>
      </c>
      <c r="I335" s="8">
        <f>SUM(I336:I340)</f>
        <v>0</v>
      </c>
      <c r="J335" s="824" t="s">
        <v>117</v>
      </c>
      <c r="K335" s="822" t="s">
        <v>113</v>
      </c>
    </row>
    <row r="336" spans="1:11" ht="16.5" hidden="1" customHeight="1">
      <c r="A336" s="762"/>
      <c r="B336" s="825"/>
      <c r="C336" s="762"/>
      <c r="D336" s="51">
        <v>2016</v>
      </c>
      <c r="E336" s="8">
        <f t="shared" si="28"/>
        <v>5977.5</v>
      </c>
      <c r="F336" s="9">
        <v>5678.6</v>
      </c>
      <c r="G336" s="9">
        <v>0</v>
      </c>
      <c r="H336" s="9">
        <v>298.89999999999998</v>
      </c>
      <c r="I336" s="9">
        <v>0</v>
      </c>
      <c r="J336" s="824"/>
      <c r="K336" s="822"/>
    </row>
    <row r="337" spans="1:11" ht="16.5" hidden="1" customHeight="1">
      <c r="A337" s="762"/>
      <c r="B337" s="825"/>
      <c r="C337" s="762"/>
      <c r="D337" s="51">
        <v>2017</v>
      </c>
      <c r="E337" s="8">
        <f t="shared" si="28"/>
        <v>0</v>
      </c>
      <c r="F337" s="9">
        <v>0</v>
      </c>
      <c r="G337" s="9">
        <v>0</v>
      </c>
      <c r="H337" s="9">
        <v>0</v>
      </c>
      <c r="I337" s="9">
        <v>0</v>
      </c>
      <c r="J337" s="824"/>
      <c r="K337" s="822"/>
    </row>
    <row r="338" spans="1:11" ht="16.5" hidden="1" customHeight="1">
      <c r="A338" s="762"/>
      <c r="B338" s="825"/>
      <c r="C338" s="762"/>
      <c r="D338" s="314">
        <v>2018</v>
      </c>
      <c r="E338" s="8">
        <f t="shared" si="28"/>
        <v>0</v>
      </c>
      <c r="F338" s="9">
        <v>0</v>
      </c>
      <c r="G338" s="9">
        <v>0</v>
      </c>
      <c r="H338" s="9">
        <v>0</v>
      </c>
      <c r="I338" s="9">
        <v>0</v>
      </c>
      <c r="J338" s="824"/>
      <c r="K338" s="822"/>
    </row>
    <row r="339" spans="1:11" ht="16.5" hidden="1" customHeight="1">
      <c r="A339" s="762"/>
      <c r="B339" s="825"/>
      <c r="C339" s="762"/>
      <c r="D339" s="314">
        <v>2019</v>
      </c>
      <c r="E339" s="8">
        <f t="shared" si="28"/>
        <v>0</v>
      </c>
      <c r="F339" s="9">
        <v>0</v>
      </c>
      <c r="G339" s="9">
        <v>0</v>
      </c>
      <c r="H339" s="9">
        <v>0</v>
      </c>
      <c r="I339" s="9">
        <v>0</v>
      </c>
      <c r="J339" s="824"/>
      <c r="K339" s="822"/>
    </row>
    <row r="340" spans="1:11" ht="16.5" hidden="1" customHeight="1">
      <c r="A340" s="762"/>
      <c r="B340" s="825"/>
      <c r="C340" s="762"/>
      <c r="D340" s="314">
        <v>2020</v>
      </c>
      <c r="E340" s="8">
        <f>SUM(F340:I340)</f>
        <v>0</v>
      </c>
      <c r="F340" s="9">
        <v>0</v>
      </c>
      <c r="G340" s="9">
        <v>0</v>
      </c>
      <c r="H340" s="9">
        <v>0</v>
      </c>
      <c r="I340" s="9">
        <v>0</v>
      </c>
      <c r="J340" s="824"/>
      <c r="K340" s="822"/>
    </row>
    <row r="341" spans="1:11" ht="12.75" hidden="1" customHeight="1">
      <c r="A341" s="762" t="s">
        <v>241</v>
      </c>
      <c r="B341" s="825" t="s">
        <v>118</v>
      </c>
      <c r="C341" s="762">
        <v>2016</v>
      </c>
      <c r="D341" s="51" t="s">
        <v>8</v>
      </c>
      <c r="E341" s="8">
        <f t="shared" ref="E341:E351" si="29">SUM(F341:I341)</f>
        <v>13114.6</v>
      </c>
      <c r="F341" s="8">
        <f>SUM(F342:F346)</f>
        <v>12452.5</v>
      </c>
      <c r="G341" s="8">
        <f>SUM(G342:G346)</f>
        <v>0</v>
      </c>
      <c r="H341" s="8">
        <f>SUM(H342:H346)</f>
        <v>662.1</v>
      </c>
      <c r="I341" s="8">
        <f>SUM(I342:I346)</f>
        <v>0</v>
      </c>
      <c r="J341" s="824" t="s">
        <v>119</v>
      </c>
      <c r="K341" s="822" t="s">
        <v>90</v>
      </c>
    </row>
    <row r="342" spans="1:11" hidden="1">
      <c r="A342" s="762"/>
      <c r="B342" s="825"/>
      <c r="C342" s="762"/>
      <c r="D342" s="51">
        <v>2016</v>
      </c>
      <c r="E342" s="8">
        <f t="shared" si="29"/>
        <v>13114.6</v>
      </c>
      <c r="F342" s="9">
        <v>12452.5</v>
      </c>
      <c r="G342" s="9">
        <v>0</v>
      </c>
      <c r="H342" s="9">
        <v>662.1</v>
      </c>
      <c r="I342" s="9">
        <v>0</v>
      </c>
      <c r="J342" s="824"/>
      <c r="K342" s="822"/>
    </row>
    <row r="343" spans="1:11" hidden="1">
      <c r="A343" s="762"/>
      <c r="B343" s="825"/>
      <c r="C343" s="762"/>
      <c r="D343" s="51">
        <v>2017</v>
      </c>
      <c r="E343" s="8">
        <f t="shared" si="29"/>
        <v>0</v>
      </c>
      <c r="F343" s="9">
        <v>0</v>
      </c>
      <c r="G343" s="9">
        <v>0</v>
      </c>
      <c r="H343" s="9">
        <v>0</v>
      </c>
      <c r="I343" s="9">
        <v>0</v>
      </c>
      <c r="J343" s="824"/>
      <c r="K343" s="822"/>
    </row>
    <row r="344" spans="1:11" hidden="1">
      <c r="A344" s="762"/>
      <c r="B344" s="825"/>
      <c r="C344" s="762"/>
      <c r="D344" s="314">
        <v>2018</v>
      </c>
      <c r="E344" s="8">
        <f t="shared" si="29"/>
        <v>0</v>
      </c>
      <c r="F344" s="9">
        <v>0</v>
      </c>
      <c r="G344" s="9">
        <v>0</v>
      </c>
      <c r="H344" s="9">
        <v>0</v>
      </c>
      <c r="I344" s="9">
        <v>0</v>
      </c>
      <c r="J344" s="824"/>
      <c r="K344" s="822"/>
    </row>
    <row r="345" spans="1:11" hidden="1">
      <c r="A345" s="762"/>
      <c r="B345" s="825"/>
      <c r="C345" s="762"/>
      <c r="D345" s="314">
        <v>2019</v>
      </c>
      <c r="E345" s="8">
        <f t="shared" si="29"/>
        <v>0</v>
      </c>
      <c r="F345" s="9">
        <v>0</v>
      </c>
      <c r="G345" s="9">
        <v>0</v>
      </c>
      <c r="H345" s="9">
        <v>0</v>
      </c>
      <c r="I345" s="9">
        <v>0</v>
      </c>
      <c r="J345" s="824"/>
      <c r="K345" s="822"/>
    </row>
    <row r="346" spans="1:11" hidden="1">
      <c r="A346" s="762"/>
      <c r="B346" s="825"/>
      <c r="C346" s="762"/>
      <c r="D346" s="314">
        <v>2020</v>
      </c>
      <c r="E346" s="8">
        <f>SUM(F346:I346)</f>
        <v>0</v>
      </c>
      <c r="F346" s="9">
        <v>0</v>
      </c>
      <c r="G346" s="9">
        <v>0</v>
      </c>
      <c r="H346" s="9">
        <v>0</v>
      </c>
      <c r="I346" s="9">
        <v>0</v>
      </c>
      <c r="J346" s="824"/>
      <c r="K346" s="822"/>
    </row>
    <row r="347" spans="1:11" ht="15" hidden="1" customHeight="1">
      <c r="A347" s="762" t="s">
        <v>242</v>
      </c>
      <c r="B347" s="825" t="s">
        <v>120</v>
      </c>
      <c r="C347" s="762" t="s">
        <v>30</v>
      </c>
      <c r="D347" s="51" t="s">
        <v>8</v>
      </c>
      <c r="E347" s="8">
        <f t="shared" si="29"/>
        <v>23223</v>
      </c>
      <c r="F347" s="8">
        <f>SUM(F348:F352)</f>
        <v>0</v>
      </c>
      <c r="G347" s="8">
        <f>SUM(G348:G352)</f>
        <v>22623</v>
      </c>
      <c r="H347" s="8">
        <f>SUM(H348:H352)</f>
        <v>600</v>
      </c>
      <c r="I347" s="8">
        <f>SUM(I348:I352)</f>
        <v>0</v>
      </c>
      <c r="J347" s="824" t="s">
        <v>121</v>
      </c>
      <c r="K347" s="822" t="s">
        <v>113</v>
      </c>
    </row>
    <row r="348" spans="1:11" hidden="1">
      <c r="A348" s="762"/>
      <c r="B348" s="825"/>
      <c r="C348" s="762"/>
      <c r="D348" s="51">
        <v>2016</v>
      </c>
      <c r="E348" s="8">
        <f t="shared" si="29"/>
        <v>11957.5</v>
      </c>
      <c r="F348" s="9">
        <v>0</v>
      </c>
      <c r="G348" s="9">
        <v>11357.5</v>
      </c>
      <c r="H348" s="9">
        <v>600</v>
      </c>
      <c r="I348" s="9">
        <v>0</v>
      </c>
      <c r="J348" s="824"/>
      <c r="K348" s="822"/>
    </row>
    <row r="349" spans="1:11" hidden="1">
      <c r="A349" s="762"/>
      <c r="B349" s="825"/>
      <c r="C349" s="762"/>
      <c r="D349" s="51">
        <v>2017</v>
      </c>
      <c r="E349" s="8">
        <f t="shared" si="29"/>
        <v>11265.5</v>
      </c>
      <c r="F349" s="9">
        <v>0</v>
      </c>
      <c r="G349" s="9">
        <v>11265.5</v>
      </c>
      <c r="H349" s="9">
        <v>0</v>
      </c>
      <c r="I349" s="9">
        <v>0</v>
      </c>
      <c r="J349" s="824"/>
      <c r="K349" s="822"/>
    </row>
    <row r="350" spans="1:11" hidden="1">
      <c r="A350" s="762"/>
      <c r="B350" s="825"/>
      <c r="C350" s="762"/>
      <c r="D350" s="314">
        <v>2018</v>
      </c>
      <c r="E350" s="8">
        <f t="shared" si="29"/>
        <v>0</v>
      </c>
      <c r="F350" s="9">
        <v>0</v>
      </c>
      <c r="G350" s="9">
        <v>0</v>
      </c>
      <c r="H350" s="9">
        <v>0</v>
      </c>
      <c r="I350" s="9">
        <v>0</v>
      </c>
      <c r="J350" s="824"/>
      <c r="K350" s="822"/>
    </row>
    <row r="351" spans="1:11" hidden="1">
      <c r="A351" s="762"/>
      <c r="B351" s="825"/>
      <c r="C351" s="762"/>
      <c r="D351" s="314">
        <v>2019</v>
      </c>
      <c r="E351" s="8">
        <f t="shared" si="29"/>
        <v>0</v>
      </c>
      <c r="F351" s="9">
        <v>0</v>
      </c>
      <c r="G351" s="9">
        <v>0</v>
      </c>
      <c r="H351" s="9">
        <v>0</v>
      </c>
      <c r="I351" s="9">
        <v>0</v>
      </c>
      <c r="J351" s="824"/>
      <c r="K351" s="822"/>
    </row>
    <row r="352" spans="1:11" hidden="1">
      <c r="A352" s="762"/>
      <c r="B352" s="825"/>
      <c r="C352" s="762"/>
      <c r="D352" s="314">
        <v>2020</v>
      </c>
      <c r="E352" s="8">
        <f>SUM(F352:I352)</f>
        <v>0</v>
      </c>
      <c r="F352" s="9">
        <v>0</v>
      </c>
      <c r="G352" s="9">
        <v>0</v>
      </c>
      <c r="H352" s="9">
        <v>0</v>
      </c>
      <c r="I352" s="9">
        <v>0</v>
      </c>
      <c r="J352" s="824"/>
      <c r="K352" s="822"/>
    </row>
    <row r="353" spans="1:11" ht="15" hidden="1" customHeight="1">
      <c r="A353" s="762" t="s">
        <v>243</v>
      </c>
      <c r="B353" s="825" t="s">
        <v>122</v>
      </c>
      <c r="C353" s="762">
        <v>2016</v>
      </c>
      <c r="D353" s="51" t="s">
        <v>8</v>
      </c>
      <c r="E353" s="8">
        <f t="shared" ref="E353:E416" si="30">SUM(F353:I353)</f>
        <v>6327</v>
      </c>
      <c r="F353" s="8">
        <f>SUM(F354:F358)</f>
        <v>6327</v>
      </c>
      <c r="G353" s="8">
        <f>SUM(G354:G358)</f>
        <v>0</v>
      </c>
      <c r="H353" s="8">
        <f>SUM(H354:H358)</f>
        <v>0</v>
      </c>
      <c r="I353" s="8">
        <f>SUM(I354:I358)</f>
        <v>0</v>
      </c>
      <c r="J353" s="824" t="s">
        <v>123</v>
      </c>
      <c r="K353" s="822" t="s">
        <v>23</v>
      </c>
    </row>
    <row r="354" spans="1:11" hidden="1">
      <c r="A354" s="762"/>
      <c r="B354" s="825"/>
      <c r="C354" s="762"/>
      <c r="D354" s="51">
        <v>2016</v>
      </c>
      <c r="E354" s="8">
        <f t="shared" si="30"/>
        <v>6327</v>
      </c>
      <c r="F354" s="9">
        <v>6327</v>
      </c>
      <c r="G354" s="9">
        <v>0</v>
      </c>
      <c r="H354" s="9">
        <v>0</v>
      </c>
      <c r="I354" s="9">
        <v>0</v>
      </c>
      <c r="J354" s="824"/>
      <c r="K354" s="822"/>
    </row>
    <row r="355" spans="1:11" hidden="1">
      <c r="A355" s="762"/>
      <c r="B355" s="825"/>
      <c r="C355" s="762"/>
      <c r="D355" s="51">
        <v>2017</v>
      </c>
      <c r="E355" s="8">
        <f t="shared" si="30"/>
        <v>0</v>
      </c>
      <c r="F355" s="9">
        <v>0</v>
      </c>
      <c r="G355" s="9">
        <v>0</v>
      </c>
      <c r="H355" s="9">
        <v>0</v>
      </c>
      <c r="I355" s="9">
        <v>0</v>
      </c>
      <c r="J355" s="824"/>
      <c r="K355" s="822"/>
    </row>
    <row r="356" spans="1:11" hidden="1">
      <c r="A356" s="762"/>
      <c r="B356" s="825"/>
      <c r="C356" s="762"/>
      <c r="D356" s="314">
        <v>2018</v>
      </c>
      <c r="E356" s="8">
        <f t="shared" si="30"/>
        <v>0</v>
      </c>
      <c r="F356" s="9">
        <v>0</v>
      </c>
      <c r="G356" s="9">
        <v>0</v>
      </c>
      <c r="H356" s="9">
        <v>0</v>
      </c>
      <c r="I356" s="9">
        <v>0</v>
      </c>
      <c r="J356" s="824"/>
      <c r="K356" s="822"/>
    </row>
    <row r="357" spans="1:11" hidden="1">
      <c r="A357" s="762"/>
      <c r="B357" s="825"/>
      <c r="C357" s="762"/>
      <c r="D357" s="314">
        <v>2019</v>
      </c>
      <c r="E357" s="8">
        <f>SUM(F357:I357)</f>
        <v>0</v>
      </c>
      <c r="F357" s="9">
        <v>0</v>
      </c>
      <c r="G357" s="9">
        <v>0</v>
      </c>
      <c r="H357" s="9">
        <v>0</v>
      </c>
      <c r="I357" s="9">
        <v>0</v>
      </c>
      <c r="J357" s="824"/>
      <c r="K357" s="822"/>
    </row>
    <row r="358" spans="1:11" hidden="1">
      <c r="A358" s="762"/>
      <c r="B358" s="825"/>
      <c r="C358" s="762"/>
      <c r="D358" s="314">
        <v>2020</v>
      </c>
      <c r="E358" s="8">
        <f>SUM(F358:I358)</f>
        <v>0</v>
      </c>
      <c r="F358" s="9">
        <v>0</v>
      </c>
      <c r="G358" s="9">
        <v>0</v>
      </c>
      <c r="H358" s="9">
        <v>0</v>
      </c>
      <c r="I358" s="9">
        <v>0</v>
      </c>
      <c r="J358" s="824"/>
      <c r="K358" s="822"/>
    </row>
    <row r="359" spans="1:11" ht="15" hidden="1" customHeight="1">
      <c r="A359" s="762" t="s">
        <v>244</v>
      </c>
      <c r="B359" s="825" t="s">
        <v>124</v>
      </c>
      <c r="C359" s="762">
        <v>2016</v>
      </c>
      <c r="D359" s="51" t="s">
        <v>8</v>
      </c>
      <c r="E359" s="8">
        <f t="shared" si="30"/>
        <v>600</v>
      </c>
      <c r="F359" s="8">
        <f>SUM(F360:F364)</f>
        <v>600</v>
      </c>
      <c r="G359" s="8">
        <f>SUM(G360:G364)</f>
        <v>0</v>
      </c>
      <c r="H359" s="8">
        <f>SUM(H360:H364)</f>
        <v>0</v>
      </c>
      <c r="I359" s="8">
        <f>SUM(I360:I364)</f>
        <v>0</v>
      </c>
      <c r="J359" s="824" t="s">
        <v>125</v>
      </c>
      <c r="K359" s="822" t="s">
        <v>23</v>
      </c>
    </row>
    <row r="360" spans="1:11" hidden="1">
      <c r="A360" s="762"/>
      <c r="B360" s="825"/>
      <c r="C360" s="762"/>
      <c r="D360" s="51">
        <v>2016</v>
      </c>
      <c r="E360" s="8">
        <f t="shared" si="30"/>
        <v>600</v>
      </c>
      <c r="F360" s="9">
        <v>600</v>
      </c>
      <c r="G360" s="9">
        <v>0</v>
      </c>
      <c r="H360" s="9">
        <v>0</v>
      </c>
      <c r="I360" s="9">
        <v>0</v>
      </c>
      <c r="J360" s="824"/>
      <c r="K360" s="822"/>
    </row>
    <row r="361" spans="1:11" hidden="1">
      <c r="A361" s="762"/>
      <c r="B361" s="825"/>
      <c r="C361" s="762"/>
      <c r="D361" s="51">
        <v>2017</v>
      </c>
      <c r="E361" s="8">
        <f t="shared" si="30"/>
        <v>0</v>
      </c>
      <c r="F361" s="9">
        <v>0</v>
      </c>
      <c r="G361" s="9">
        <v>0</v>
      </c>
      <c r="H361" s="9">
        <v>0</v>
      </c>
      <c r="I361" s="9">
        <v>0</v>
      </c>
      <c r="J361" s="824"/>
      <c r="K361" s="822"/>
    </row>
    <row r="362" spans="1:11" hidden="1">
      <c r="A362" s="762"/>
      <c r="B362" s="825"/>
      <c r="C362" s="762"/>
      <c r="D362" s="314">
        <v>2018</v>
      </c>
      <c r="E362" s="8">
        <f t="shared" si="30"/>
        <v>0</v>
      </c>
      <c r="F362" s="9">
        <v>0</v>
      </c>
      <c r="G362" s="9">
        <v>0</v>
      </c>
      <c r="H362" s="9">
        <v>0</v>
      </c>
      <c r="I362" s="9">
        <v>0</v>
      </c>
      <c r="J362" s="824"/>
      <c r="K362" s="822"/>
    </row>
    <row r="363" spans="1:11" hidden="1">
      <c r="A363" s="762"/>
      <c r="B363" s="825"/>
      <c r="C363" s="762"/>
      <c r="D363" s="314">
        <v>2019</v>
      </c>
      <c r="E363" s="8">
        <f t="shared" si="30"/>
        <v>0</v>
      </c>
      <c r="F363" s="9">
        <v>0</v>
      </c>
      <c r="G363" s="9">
        <v>0</v>
      </c>
      <c r="H363" s="9">
        <v>0</v>
      </c>
      <c r="I363" s="9">
        <v>0</v>
      </c>
      <c r="J363" s="824"/>
      <c r="K363" s="822"/>
    </row>
    <row r="364" spans="1:11" hidden="1">
      <c r="A364" s="762"/>
      <c r="B364" s="825"/>
      <c r="C364" s="762"/>
      <c r="D364" s="314">
        <v>2020</v>
      </c>
      <c r="E364" s="8">
        <f t="shared" si="30"/>
        <v>0</v>
      </c>
      <c r="F364" s="9">
        <v>0</v>
      </c>
      <c r="G364" s="9">
        <v>0</v>
      </c>
      <c r="H364" s="9">
        <v>0</v>
      </c>
      <c r="I364" s="9">
        <v>0</v>
      </c>
      <c r="J364" s="824"/>
      <c r="K364" s="822"/>
    </row>
    <row r="365" spans="1:11" ht="15" hidden="1" customHeight="1">
      <c r="A365" s="762" t="s">
        <v>245</v>
      </c>
      <c r="B365" s="825" t="s">
        <v>126</v>
      </c>
      <c r="C365" s="762">
        <v>2017</v>
      </c>
      <c r="D365" s="51" t="s">
        <v>8</v>
      </c>
      <c r="E365" s="8">
        <f t="shared" si="30"/>
        <v>9490.9</v>
      </c>
      <c r="F365" s="8">
        <f>SUM(F366:F370)</f>
        <v>8990.9</v>
      </c>
      <c r="G365" s="8">
        <f>SUM(G366:G370)</f>
        <v>0</v>
      </c>
      <c r="H365" s="8">
        <f>SUM(H366:H370)</f>
        <v>500</v>
      </c>
      <c r="I365" s="8">
        <f>SUM(I366:I370)</f>
        <v>0</v>
      </c>
      <c r="J365" s="824" t="s">
        <v>127</v>
      </c>
      <c r="K365" s="822" t="s">
        <v>128</v>
      </c>
    </row>
    <row r="366" spans="1:11" hidden="1">
      <c r="A366" s="762"/>
      <c r="B366" s="825"/>
      <c r="C366" s="762"/>
      <c r="D366" s="51">
        <v>2016</v>
      </c>
      <c r="E366" s="8">
        <f t="shared" si="30"/>
        <v>0</v>
      </c>
      <c r="F366" s="9">
        <v>0</v>
      </c>
      <c r="G366" s="9">
        <v>0</v>
      </c>
      <c r="H366" s="9">
        <v>0</v>
      </c>
      <c r="I366" s="9">
        <v>0</v>
      </c>
      <c r="J366" s="824"/>
      <c r="K366" s="822"/>
    </row>
    <row r="367" spans="1:11" hidden="1">
      <c r="A367" s="762"/>
      <c r="B367" s="825"/>
      <c r="C367" s="762"/>
      <c r="D367" s="51">
        <v>2017</v>
      </c>
      <c r="E367" s="8">
        <f t="shared" si="30"/>
        <v>9490.9</v>
      </c>
      <c r="F367" s="9">
        <v>8990.9</v>
      </c>
      <c r="G367" s="9">
        <v>0</v>
      </c>
      <c r="H367" s="9">
        <v>500</v>
      </c>
      <c r="I367" s="9">
        <v>0</v>
      </c>
      <c r="J367" s="824"/>
      <c r="K367" s="822"/>
    </row>
    <row r="368" spans="1:11" hidden="1">
      <c r="A368" s="762"/>
      <c r="B368" s="825"/>
      <c r="C368" s="762"/>
      <c r="D368" s="314">
        <v>2018</v>
      </c>
      <c r="E368" s="8">
        <f t="shared" si="30"/>
        <v>0</v>
      </c>
      <c r="F368" s="9">
        <v>0</v>
      </c>
      <c r="G368" s="9">
        <v>0</v>
      </c>
      <c r="H368" s="9">
        <v>0</v>
      </c>
      <c r="I368" s="9">
        <v>0</v>
      </c>
      <c r="J368" s="824"/>
      <c r="K368" s="822"/>
    </row>
    <row r="369" spans="1:11" hidden="1">
      <c r="A369" s="762"/>
      <c r="B369" s="825"/>
      <c r="C369" s="762"/>
      <c r="D369" s="314">
        <v>2019</v>
      </c>
      <c r="E369" s="8">
        <f t="shared" si="30"/>
        <v>0</v>
      </c>
      <c r="F369" s="9">
        <v>0</v>
      </c>
      <c r="G369" s="9">
        <v>0</v>
      </c>
      <c r="H369" s="9">
        <v>0</v>
      </c>
      <c r="I369" s="9">
        <v>0</v>
      </c>
      <c r="J369" s="824"/>
      <c r="K369" s="822"/>
    </row>
    <row r="370" spans="1:11" hidden="1">
      <c r="A370" s="762"/>
      <c r="B370" s="825"/>
      <c r="C370" s="762"/>
      <c r="D370" s="314">
        <v>2020</v>
      </c>
      <c r="E370" s="8">
        <f>SUM(F370:I370)</f>
        <v>0</v>
      </c>
      <c r="F370" s="9">
        <v>0</v>
      </c>
      <c r="G370" s="9">
        <v>0</v>
      </c>
      <c r="H370" s="9">
        <v>0</v>
      </c>
      <c r="I370" s="9">
        <v>0</v>
      </c>
      <c r="J370" s="824"/>
      <c r="K370" s="822"/>
    </row>
    <row r="371" spans="1:11" ht="15" hidden="1" customHeight="1">
      <c r="A371" s="762" t="s">
        <v>246</v>
      </c>
      <c r="B371" s="825" t="s">
        <v>247</v>
      </c>
      <c r="C371" s="762">
        <v>2017</v>
      </c>
      <c r="D371" s="51" t="s">
        <v>8</v>
      </c>
      <c r="E371" s="8">
        <f t="shared" si="30"/>
        <v>2086.5</v>
      </c>
      <c r="F371" s="8">
        <f>SUM(F372:F376)</f>
        <v>1936.5</v>
      </c>
      <c r="G371" s="8">
        <f>SUM(G372:G376)</f>
        <v>0</v>
      </c>
      <c r="H371" s="8">
        <f>SUM(H372:H376)</f>
        <v>150</v>
      </c>
      <c r="I371" s="8">
        <f>SUM(I372:I376)</f>
        <v>0</v>
      </c>
      <c r="J371" s="824" t="s">
        <v>248</v>
      </c>
      <c r="K371" s="822" t="s">
        <v>113</v>
      </c>
    </row>
    <row r="372" spans="1:11" hidden="1">
      <c r="A372" s="762"/>
      <c r="B372" s="825"/>
      <c r="C372" s="762"/>
      <c r="D372" s="51">
        <v>2016</v>
      </c>
      <c r="E372" s="8">
        <f t="shared" si="30"/>
        <v>0</v>
      </c>
      <c r="F372" s="9">
        <v>0</v>
      </c>
      <c r="G372" s="9">
        <v>0</v>
      </c>
      <c r="H372" s="9">
        <v>0</v>
      </c>
      <c r="I372" s="9">
        <v>0</v>
      </c>
      <c r="J372" s="824"/>
      <c r="K372" s="822"/>
    </row>
    <row r="373" spans="1:11" hidden="1">
      <c r="A373" s="762"/>
      <c r="B373" s="825"/>
      <c r="C373" s="762"/>
      <c r="D373" s="51">
        <v>2017</v>
      </c>
      <c r="E373" s="8">
        <f t="shared" si="30"/>
        <v>2086.5</v>
      </c>
      <c r="F373" s="9">
        <v>1936.5</v>
      </c>
      <c r="G373" s="9">
        <v>0</v>
      </c>
      <c r="H373" s="9">
        <v>150</v>
      </c>
      <c r="I373" s="9">
        <v>0</v>
      </c>
      <c r="J373" s="824"/>
      <c r="K373" s="822"/>
    </row>
    <row r="374" spans="1:11" hidden="1">
      <c r="A374" s="762"/>
      <c r="B374" s="825"/>
      <c r="C374" s="762"/>
      <c r="D374" s="314">
        <v>2018</v>
      </c>
      <c r="E374" s="8">
        <f t="shared" si="30"/>
        <v>0</v>
      </c>
      <c r="F374" s="9">
        <v>0</v>
      </c>
      <c r="G374" s="9">
        <v>0</v>
      </c>
      <c r="H374" s="9">
        <v>0</v>
      </c>
      <c r="I374" s="9">
        <v>0</v>
      </c>
      <c r="J374" s="824"/>
      <c r="K374" s="822"/>
    </row>
    <row r="375" spans="1:11" hidden="1">
      <c r="A375" s="762"/>
      <c r="B375" s="825"/>
      <c r="C375" s="762"/>
      <c r="D375" s="314">
        <v>2019</v>
      </c>
      <c r="E375" s="8">
        <f t="shared" si="30"/>
        <v>0</v>
      </c>
      <c r="F375" s="9">
        <v>0</v>
      </c>
      <c r="G375" s="9">
        <v>0</v>
      </c>
      <c r="H375" s="9">
        <v>0</v>
      </c>
      <c r="I375" s="9">
        <v>0</v>
      </c>
      <c r="J375" s="824"/>
      <c r="K375" s="822"/>
    </row>
    <row r="376" spans="1:11" hidden="1">
      <c r="A376" s="762"/>
      <c r="B376" s="825"/>
      <c r="C376" s="762"/>
      <c r="D376" s="314">
        <v>2020</v>
      </c>
      <c r="E376" s="8">
        <f>SUM(F376:I376)</f>
        <v>0</v>
      </c>
      <c r="F376" s="9">
        <v>0</v>
      </c>
      <c r="G376" s="9">
        <v>0</v>
      </c>
      <c r="H376" s="9">
        <v>0</v>
      </c>
      <c r="I376" s="9">
        <v>0</v>
      </c>
      <c r="J376" s="824"/>
      <c r="K376" s="822"/>
    </row>
    <row r="377" spans="1:11" ht="15" hidden="1" customHeight="1">
      <c r="A377" s="762" t="s">
        <v>249</v>
      </c>
      <c r="B377" s="825" t="s">
        <v>165</v>
      </c>
      <c r="C377" s="762">
        <v>2017</v>
      </c>
      <c r="D377" s="51" t="s">
        <v>8</v>
      </c>
      <c r="E377" s="8">
        <f t="shared" si="30"/>
        <v>25409</v>
      </c>
      <c r="F377" s="8">
        <f>SUM(F378:F382)</f>
        <v>23838.2</v>
      </c>
      <c r="G377" s="8">
        <f>SUM(G378:G382)</f>
        <v>0</v>
      </c>
      <c r="H377" s="8">
        <f>SUM(H378:H382)</f>
        <v>1570.8</v>
      </c>
      <c r="I377" s="8">
        <f>SUM(I378:I382)</f>
        <v>0</v>
      </c>
      <c r="J377" s="824" t="s">
        <v>166</v>
      </c>
      <c r="K377" s="822" t="s">
        <v>113</v>
      </c>
    </row>
    <row r="378" spans="1:11" hidden="1">
      <c r="A378" s="762"/>
      <c r="B378" s="825"/>
      <c r="C378" s="762"/>
      <c r="D378" s="51">
        <v>2016</v>
      </c>
      <c r="E378" s="8">
        <f t="shared" si="30"/>
        <v>0</v>
      </c>
      <c r="F378" s="9">
        <v>0</v>
      </c>
      <c r="G378" s="9">
        <v>0</v>
      </c>
      <c r="H378" s="9">
        <v>0</v>
      </c>
      <c r="I378" s="9">
        <v>0</v>
      </c>
      <c r="J378" s="824"/>
      <c r="K378" s="822"/>
    </row>
    <row r="379" spans="1:11" hidden="1">
      <c r="A379" s="762"/>
      <c r="B379" s="825"/>
      <c r="C379" s="762"/>
      <c r="D379" s="51">
        <v>2017</v>
      </c>
      <c r="E379" s="8">
        <f t="shared" si="30"/>
        <v>25409</v>
      </c>
      <c r="F379" s="9">
        <v>23838.2</v>
      </c>
      <c r="G379" s="9">
        <v>0</v>
      </c>
      <c r="H379" s="9">
        <v>1570.8</v>
      </c>
      <c r="I379" s="9">
        <v>0</v>
      </c>
      <c r="J379" s="824"/>
      <c r="K379" s="822"/>
    </row>
    <row r="380" spans="1:11" hidden="1">
      <c r="A380" s="762"/>
      <c r="B380" s="825"/>
      <c r="C380" s="762"/>
      <c r="D380" s="314">
        <v>2018</v>
      </c>
      <c r="E380" s="8">
        <f t="shared" si="30"/>
        <v>0</v>
      </c>
      <c r="F380" s="9">
        <v>0</v>
      </c>
      <c r="G380" s="9">
        <v>0</v>
      </c>
      <c r="H380" s="9">
        <v>0</v>
      </c>
      <c r="I380" s="9">
        <v>0</v>
      </c>
      <c r="J380" s="824"/>
      <c r="K380" s="822"/>
    </row>
    <row r="381" spans="1:11" hidden="1">
      <c r="A381" s="762"/>
      <c r="B381" s="825"/>
      <c r="C381" s="762"/>
      <c r="D381" s="314">
        <v>2019</v>
      </c>
      <c r="E381" s="8">
        <f t="shared" si="30"/>
        <v>0</v>
      </c>
      <c r="F381" s="9">
        <v>0</v>
      </c>
      <c r="G381" s="9">
        <v>0</v>
      </c>
      <c r="H381" s="9">
        <v>0</v>
      </c>
      <c r="I381" s="9">
        <v>0</v>
      </c>
      <c r="J381" s="824"/>
      <c r="K381" s="822"/>
    </row>
    <row r="382" spans="1:11" hidden="1">
      <c r="A382" s="762"/>
      <c r="B382" s="825"/>
      <c r="C382" s="762"/>
      <c r="D382" s="314">
        <v>2020</v>
      </c>
      <c r="E382" s="8">
        <f t="shared" si="30"/>
        <v>0</v>
      </c>
      <c r="F382" s="9">
        <v>0</v>
      </c>
      <c r="G382" s="9">
        <v>0</v>
      </c>
      <c r="H382" s="9">
        <v>0</v>
      </c>
      <c r="I382" s="9">
        <v>0</v>
      </c>
      <c r="J382" s="824"/>
      <c r="K382" s="822"/>
    </row>
    <row r="383" spans="1:11" ht="15" hidden="1" customHeight="1">
      <c r="A383" s="762" t="s">
        <v>250</v>
      </c>
      <c r="B383" s="825" t="s">
        <v>167</v>
      </c>
      <c r="C383" s="762">
        <v>2017</v>
      </c>
      <c r="D383" s="51" t="s">
        <v>8</v>
      </c>
      <c r="E383" s="8">
        <f t="shared" si="30"/>
        <v>10000</v>
      </c>
      <c r="F383" s="8">
        <f>SUM(F384:F388)</f>
        <v>9500</v>
      </c>
      <c r="G383" s="8">
        <f>SUM(G384:G388)</f>
        <v>0</v>
      </c>
      <c r="H383" s="8">
        <f>SUM(H384:H388)</f>
        <v>500</v>
      </c>
      <c r="I383" s="8">
        <f>SUM(I384:I388)</f>
        <v>0</v>
      </c>
      <c r="J383" s="824" t="s">
        <v>454</v>
      </c>
      <c r="K383" s="822" t="s">
        <v>169</v>
      </c>
    </row>
    <row r="384" spans="1:11" hidden="1">
      <c r="A384" s="762"/>
      <c r="B384" s="825"/>
      <c r="C384" s="762"/>
      <c r="D384" s="51">
        <v>2016</v>
      </c>
      <c r="E384" s="8">
        <f t="shared" si="30"/>
        <v>0</v>
      </c>
      <c r="F384" s="9">
        <v>0</v>
      </c>
      <c r="G384" s="9">
        <v>0</v>
      </c>
      <c r="H384" s="9">
        <v>0</v>
      </c>
      <c r="I384" s="9">
        <v>0</v>
      </c>
      <c r="J384" s="824"/>
      <c r="K384" s="822"/>
    </row>
    <row r="385" spans="1:11" hidden="1">
      <c r="A385" s="762"/>
      <c r="B385" s="825"/>
      <c r="C385" s="762"/>
      <c r="D385" s="51">
        <v>2017</v>
      </c>
      <c r="E385" s="8">
        <f t="shared" si="30"/>
        <v>10000</v>
      </c>
      <c r="F385" s="9">
        <v>9500</v>
      </c>
      <c r="G385" s="9">
        <v>0</v>
      </c>
      <c r="H385" s="9">
        <v>500</v>
      </c>
      <c r="I385" s="9">
        <v>0</v>
      </c>
      <c r="J385" s="824"/>
      <c r="K385" s="822"/>
    </row>
    <row r="386" spans="1:11" hidden="1">
      <c r="A386" s="762"/>
      <c r="B386" s="825"/>
      <c r="C386" s="762"/>
      <c r="D386" s="314">
        <v>2018</v>
      </c>
      <c r="E386" s="8">
        <f t="shared" si="30"/>
        <v>0</v>
      </c>
      <c r="F386" s="9">
        <v>0</v>
      </c>
      <c r="G386" s="9">
        <v>0</v>
      </c>
      <c r="H386" s="9">
        <v>0</v>
      </c>
      <c r="I386" s="9">
        <v>0</v>
      </c>
      <c r="J386" s="824"/>
      <c r="K386" s="822"/>
    </row>
    <row r="387" spans="1:11" hidden="1">
      <c r="A387" s="762"/>
      <c r="B387" s="825"/>
      <c r="C387" s="762"/>
      <c r="D387" s="314">
        <v>2019</v>
      </c>
      <c r="E387" s="8">
        <f t="shared" si="30"/>
        <v>0</v>
      </c>
      <c r="F387" s="9">
        <v>0</v>
      </c>
      <c r="G387" s="9">
        <v>0</v>
      </c>
      <c r="H387" s="9">
        <v>0</v>
      </c>
      <c r="I387" s="9">
        <v>0</v>
      </c>
      <c r="J387" s="824"/>
      <c r="K387" s="822"/>
    </row>
    <row r="388" spans="1:11" hidden="1">
      <c r="A388" s="762"/>
      <c r="B388" s="825"/>
      <c r="C388" s="762"/>
      <c r="D388" s="314">
        <v>2020</v>
      </c>
      <c r="E388" s="8">
        <f t="shared" si="30"/>
        <v>0</v>
      </c>
      <c r="F388" s="9">
        <v>0</v>
      </c>
      <c r="G388" s="9">
        <v>0</v>
      </c>
      <c r="H388" s="9">
        <v>0</v>
      </c>
      <c r="I388" s="9">
        <v>0</v>
      </c>
      <c r="J388" s="824"/>
      <c r="K388" s="822"/>
    </row>
    <row r="389" spans="1:11" s="2" customFormat="1" ht="15" hidden="1" customHeight="1">
      <c r="A389" s="762" t="s">
        <v>251</v>
      </c>
      <c r="B389" s="825" t="s">
        <v>252</v>
      </c>
      <c r="C389" s="762">
        <v>2018</v>
      </c>
      <c r="D389" s="51" t="s">
        <v>8</v>
      </c>
      <c r="E389" s="8">
        <f t="shared" si="30"/>
        <v>3881.2999999999997</v>
      </c>
      <c r="F389" s="8">
        <f>SUM(F390:F394)</f>
        <v>3687.1</v>
      </c>
      <c r="G389" s="8">
        <f>SUM(G390:G394)</f>
        <v>0</v>
      </c>
      <c r="H389" s="8">
        <f>SUM(H390:H394)</f>
        <v>194.2</v>
      </c>
      <c r="I389" s="8">
        <f>SUM(I390:I394)</f>
        <v>0</v>
      </c>
      <c r="J389" s="824" t="s">
        <v>253</v>
      </c>
      <c r="K389" s="822" t="s">
        <v>113</v>
      </c>
    </row>
    <row r="390" spans="1:11" s="2" customFormat="1" hidden="1">
      <c r="A390" s="762"/>
      <c r="B390" s="825"/>
      <c r="C390" s="762"/>
      <c r="D390" s="51">
        <v>2016</v>
      </c>
      <c r="E390" s="8">
        <f t="shared" si="30"/>
        <v>0</v>
      </c>
      <c r="F390" s="9">
        <v>0</v>
      </c>
      <c r="G390" s="9">
        <v>0</v>
      </c>
      <c r="H390" s="9">
        <v>0</v>
      </c>
      <c r="I390" s="9">
        <v>0</v>
      </c>
      <c r="J390" s="824"/>
      <c r="K390" s="822"/>
    </row>
    <row r="391" spans="1:11" s="2" customFormat="1" hidden="1">
      <c r="A391" s="762"/>
      <c r="B391" s="825"/>
      <c r="C391" s="762"/>
      <c r="D391" s="51">
        <v>2017</v>
      </c>
      <c r="E391" s="8">
        <f t="shared" si="30"/>
        <v>0</v>
      </c>
      <c r="F391" s="9">
        <v>0</v>
      </c>
      <c r="G391" s="9">
        <v>0</v>
      </c>
      <c r="H391" s="9">
        <v>0</v>
      </c>
      <c r="I391" s="9">
        <v>0</v>
      </c>
      <c r="J391" s="824"/>
      <c r="K391" s="822"/>
    </row>
    <row r="392" spans="1:11" s="2" customFormat="1" hidden="1">
      <c r="A392" s="762"/>
      <c r="B392" s="825"/>
      <c r="C392" s="762"/>
      <c r="D392" s="314">
        <v>2018</v>
      </c>
      <c r="E392" s="8">
        <f>SUM(F392:I392)</f>
        <v>3881.2999999999997</v>
      </c>
      <c r="F392" s="9">
        <v>3687.1</v>
      </c>
      <c r="G392" s="9">
        <v>0</v>
      </c>
      <c r="H392" s="9">
        <v>194.2</v>
      </c>
      <c r="I392" s="9">
        <v>0</v>
      </c>
      <c r="J392" s="824"/>
      <c r="K392" s="822"/>
    </row>
    <row r="393" spans="1:11" s="2" customFormat="1" hidden="1">
      <c r="A393" s="762"/>
      <c r="B393" s="825"/>
      <c r="C393" s="762"/>
      <c r="D393" s="314">
        <v>2019</v>
      </c>
      <c r="E393" s="8">
        <f t="shared" si="30"/>
        <v>0</v>
      </c>
      <c r="F393" s="9">
        <v>0</v>
      </c>
      <c r="G393" s="9">
        <v>0</v>
      </c>
      <c r="H393" s="9">
        <v>0</v>
      </c>
      <c r="I393" s="9">
        <v>0</v>
      </c>
      <c r="J393" s="824"/>
      <c r="K393" s="822"/>
    </row>
    <row r="394" spans="1:11" s="2" customFormat="1" hidden="1">
      <c r="A394" s="762"/>
      <c r="B394" s="825"/>
      <c r="C394" s="762"/>
      <c r="D394" s="314">
        <v>2020</v>
      </c>
      <c r="E394" s="8">
        <f t="shared" si="30"/>
        <v>0</v>
      </c>
      <c r="F394" s="9">
        <v>0</v>
      </c>
      <c r="G394" s="9">
        <v>0</v>
      </c>
      <c r="H394" s="9">
        <v>0</v>
      </c>
      <c r="I394" s="9">
        <v>0</v>
      </c>
      <c r="J394" s="824"/>
      <c r="K394" s="822"/>
    </row>
    <row r="395" spans="1:11" s="2" customFormat="1" ht="15" customHeight="1">
      <c r="A395" s="762" t="s">
        <v>254</v>
      </c>
      <c r="B395" s="825" t="s">
        <v>255</v>
      </c>
      <c r="C395" s="762" t="s">
        <v>256</v>
      </c>
      <c r="D395" s="51" t="s">
        <v>8</v>
      </c>
      <c r="E395" s="8">
        <f t="shared" si="30"/>
        <v>72435.5</v>
      </c>
      <c r="F395" s="8">
        <f>SUM(F396:F400)</f>
        <v>68588.399999999994</v>
      </c>
      <c r="G395" s="8">
        <f>SUM(G396:G400)</f>
        <v>0</v>
      </c>
      <c r="H395" s="8">
        <f>SUM(H396:H400)</f>
        <v>3847.1</v>
      </c>
      <c r="I395" s="8">
        <f>SUM(I396:I400)</f>
        <v>0</v>
      </c>
      <c r="J395" s="824" t="s">
        <v>310</v>
      </c>
      <c r="K395" s="822" t="s">
        <v>169</v>
      </c>
    </row>
    <row r="396" spans="1:11" s="2" customFormat="1">
      <c r="A396" s="762"/>
      <c r="B396" s="825"/>
      <c r="C396" s="762"/>
      <c r="D396" s="51">
        <v>2016</v>
      </c>
      <c r="E396" s="8">
        <f t="shared" si="30"/>
        <v>0</v>
      </c>
      <c r="F396" s="9">
        <v>0</v>
      </c>
      <c r="G396" s="9">
        <v>0</v>
      </c>
      <c r="H396" s="9">
        <v>0</v>
      </c>
      <c r="I396" s="9">
        <v>0</v>
      </c>
      <c r="J396" s="824"/>
      <c r="K396" s="822"/>
    </row>
    <row r="397" spans="1:11" s="2" customFormat="1">
      <c r="A397" s="762"/>
      <c r="B397" s="825"/>
      <c r="C397" s="762"/>
      <c r="D397" s="51">
        <v>2017</v>
      </c>
      <c r="E397" s="8">
        <f t="shared" si="30"/>
        <v>0</v>
      </c>
      <c r="F397" s="9">
        <v>0</v>
      </c>
      <c r="G397" s="9">
        <v>0</v>
      </c>
      <c r="H397" s="9">
        <v>0</v>
      </c>
      <c r="I397" s="9">
        <v>0</v>
      </c>
      <c r="J397" s="824"/>
      <c r="K397" s="822"/>
    </row>
    <row r="398" spans="1:11" s="2" customFormat="1">
      <c r="A398" s="762"/>
      <c r="B398" s="825"/>
      <c r="C398" s="762"/>
      <c r="D398" s="314">
        <v>2018</v>
      </c>
      <c r="E398" s="8">
        <f t="shared" si="30"/>
        <v>18773.5</v>
      </c>
      <c r="F398" s="9">
        <v>17609.5</v>
      </c>
      <c r="G398" s="9">
        <v>0</v>
      </c>
      <c r="H398" s="9">
        <v>1164</v>
      </c>
      <c r="I398" s="9">
        <v>0</v>
      </c>
      <c r="J398" s="824"/>
      <c r="K398" s="822"/>
    </row>
    <row r="399" spans="1:11" s="2" customFormat="1">
      <c r="A399" s="762"/>
      <c r="B399" s="825"/>
      <c r="C399" s="762"/>
      <c r="D399" s="314">
        <v>2019</v>
      </c>
      <c r="E399" s="8">
        <f t="shared" si="30"/>
        <v>53662</v>
      </c>
      <c r="F399" s="9">
        <v>50978.9</v>
      </c>
      <c r="G399" s="9">
        <v>0</v>
      </c>
      <c r="H399" s="9">
        <v>2683.1</v>
      </c>
      <c r="I399" s="9">
        <v>0</v>
      </c>
      <c r="J399" s="824"/>
      <c r="K399" s="822"/>
    </row>
    <row r="400" spans="1:11" s="2" customFormat="1">
      <c r="A400" s="762"/>
      <c r="B400" s="825"/>
      <c r="C400" s="762"/>
      <c r="D400" s="314">
        <v>2020</v>
      </c>
      <c r="E400" s="8">
        <f t="shared" si="30"/>
        <v>0</v>
      </c>
      <c r="F400" s="9">
        <v>0</v>
      </c>
      <c r="G400" s="9">
        <v>0</v>
      </c>
      <c r="H400" s="9">
        <v>0</v>
      </c>
      <c r="I400" s="9">
        <v>0</v>
      </c>
      <c r="J400" s="824"/>
      <c r="K400" s="822"/>
    </row>
    <row r="401" spans="1:11" s="2" customFormat="1" ht="15" hidden="1" customHeight="1">
      <c r="A401" s="762" t="s">
        <v>258</v>
      </c>
      <c r="B401" s="825" t="s">
        <v>259</v>
      </c>
      <c r="C401" s="762">
        <v>2018</v>
      </c>
      <c r="D401" s="51" t="s">
        <v>8</v>
      </c>
      <c r="E401" s="8">
        <f t="shared" si="30"/>
        <v>11280.7</v>
      </c>
      <c r="F401" s="8">
        <f>SUM(F402:F406)</f>
        <v>10716.6</v>
      </c>
      <c r="G401" s="8">
        <f>SUM(G402:G406)</f>
        <v>0</v>
      </c>
      <c r="H401" s="8">
        <f>SUM(H402:H406)</f>
        <v>564.1</v>
      </c>
      <c r="I401" s="8">
        <f>SUM(I402:I406)</f>
        <v>0</v>
      </c>
      <c r="J401" s="824" t="s">
        <v>260</v>
      </c>
      <c r="K401" s="822" t="s">
        <v>169</v>
      </c>
    </row>
    <row r="402" spans="1:11" s="2" customFormat="1" hidden="1">
      <c r="A402" s="762"/>
      <c r="B402" s="825"/>
      <c r="C402" s="762"/>
      <c r="D402" s="51">
        <v>2016</v>
      </c>
      <c r="E402" s="8">
        <f t="shared" si="30"/>
        <v>0</v>
      </c>
      <c r="F402" s="9">
        <v>0</v>
      </c>
      <c r="G402" s="9">
        <v>0</v>
      </c>
      <c r="H402" s="9">
        <v>0</v>
      </c>
      <c r="I402" s="9">
        <v>0</v>
      </c>
      <c r="J402" s="824"/>
      <c r="K402" s="822"/>
    </row>
    <row r="403" spans="1:11" s="2" customFormat="1" hidden="1">
      <c r="A403" s="762"/>
      <c r="B403" s="825"/>
      <c r="C403" s="762"/>
      <c r="D403" s="51">
        <v>2017</v>
      </c>
      <c r="E403" s="8">
        <f t="shared" si="30"/>
        <v>0</v>
      </c>
      <c r="F403" s="9">
        <v>0</v>
      </c>
      <c r="G403" s="9">
        <v>0</v>
      </c>
      <c r="H403" s="9">
        <v>0</v>
      </c>
      <c r="I403" s="9">
        <v>0</v>
      </c>
      <c r="J403" s="824"/>
      <c r="K403" s="822"/>
    </row>
    <row r="404" spans="1:11" s="2" customFormat="1" hidden="1">
      <c r="A404" s="762"/>
      <c r="B404" s="825"/>
      <c r="C404" s="762"/>
      <c r="D404" s="314">
        <v>2018</v>
      </c>
      <c r="E404" s="8">
        <f t="shared" si="30"/>
        <v>11280.7</v>
      </c>
      <c r="F404" s="9">
        <v>10716.6</v>
      </c>
      <c r="G404" s="9">
        <v>0</v>
      </c>
      <c r="H404" s="9">
        <v>564.1</v>
      </c>
      <c r="I404" s="9">
        <v>0</v>
      </c>
      <c r="J404" s="824"/>
      <c r="K404" s="822"/>
    </row>
    <row r="405" spans="1:11" s="2" customFormat="1" hidden="1">
      <c r="A405" s="762"/>
      <c r="B405" s="825"/>
      <c r="C405" s="762"/>
      <c r="D405" s="314">
        <v>2019</v>
      </c>
      <c r="E405" s="8">
        <f t="shared" si="30"/>
        <v>0</v>
      </c>
      <c r="F405" s="9">
        <v>0</v>
      </c>
      <c r="G405" s="9">
        <v>0</v>
      </c>
      <c r="H405" s="9">
        <v>0</v>
      </c>
      <c r="I405" s="9">
        <v>0</v>
      </c>
      <c r="J405" s="824"/>
      <c r="K405" s="822"/>
    </row>
    <row r="406" spans="1:11" s="2" customFormat="1" hidden="1">
      <c r="A406" s="762"/>
      <c r="B406" s="825"/>
      <c r="C406" s="762"/>
      <c r="D406" s="314">
        <v>2020</v>
      </c>
      <c r="E406" s="8">
        <f t="shared" si="30"/>
        <v>0</v>
      </c>
      <c r="F406" s="9">
        <v>0</v>
      </c>
      <c r="G406" s="9">
        <v>0</v>
      </c>
      <c r="H406" s="9">
        <v>0</v>
      </c>
      <c r="I406" s="9">
        <v>0</v>
      </c>
      <c r="J406" s="824"/>
      <c r="K406" s="822"/>
    </row>
    <row r="407" spans="1:11" s="2" customFormat="1" ht="15" hidden="1" customHeight="1">
      <c r="A407" s="762" t="s">
        <v>261</v>
      </c>
      <c r="B407" s="825" t="s">
        <v>262</v>
      </c>
      <c r="C407" s="762">
        <v>2018</v>
      </c>
      <c r="D407" s="51" t="s">
        <v>8</v>
      </c>
      <c r="E407" s="8">
        <f t="shared" si="30"/>
        <v>7758.4000000000005</v>
      </c>
      <c r="F407" s="8">
        <f>SUM(F408:F412)</f>
        <v>6981.8</v>
      </c>
      <c r="G407" s="8">
        <f>SUM(G408:G412)</f>
        <v>0</v>
      </c>
      <c r="H407" s="8">
        <f>SUM(H408:H412)</f>
        <v>776.6</v>
      </c>
      <c r="I407" s="8">
        <f>SUM(I408:I412)</f>
        <v>0</v>
      </c>
      <c r="J407" s="824" t="s">
        <v>263</v>
      </c>
      <c r="K407" s="822" t="s">
        <v>169</v>
      </c>
    </row>
    <row r="408" spans="1:11" s="2" customFormat="1" hidden="1">
      <c r="A408" s="762"/>
      <c r="B408" s="825"/>
      <c r="C408" s="762"/>
      <c r="D408" s="51">
        <v>2016</v>
      </c>
      <c r="E408" s="8">
        <f t="shared" si="30"/>
        <v>0</v>
      </c>
      <c r="F408" s="9">
        <v>0</v>
      </c>
      <c r="G408" s="9">
        <v>0</v>
      </c>
      <c r="H408" s="9">
        <v>0</v>
      </c>
      <c r="I408" s="9">
        <v>0</v>
      </c>
      <c r="J408" s="824"/>
      <c r="K408" s="822"/>
    </row>
    <row r="409" spans="1:11" s="2" customFormat="1" hidden="1">
      <c r="A409" s="762"/>
      <c r="B409" s="825"/>
      <c r="C409" s="762"/>
      <c r="D409" s="51">
        <v>2017</v>
      </c>
      <c r="E409" s="8">
        <f t="shared" si="30"/>
        <v>0</v>
      </c>
      <c r="F409" s="9">
        <v>0</v>
      </c>
      <c r="G409" s="9">
        <v>0</v>
      </c>
      <c r="H409" s="9">
        <v>0</v>
      </c>
      <c r="I409" s="9">
        <v>0</v>
      </c>
      <c r="J409" s="824"/>
      <c r="K409" s="822"/>
    </row>
    <row r="410" spans="1:11" s="2" customFormat="1" hidden="1">
      <c r="A410" s="762"/>
      <c r="B410" s="825"/>
      <c r="C410" s="762"/>
      <c r="D410" s="314">
        <v>2018</v>
      </c>
      <c r="E410" s="8">
        <f t="shared" si="30"/>
        <v>7758.4000000000005</v>
      </c>
      <c r="F410" s="9">
        <v>6981.8</v>
      </c>
      <c r="G410" s="9">
        <v>0</v>
      </c>
      <c r="H410" s="9">
        <v>776.6</v>
      </c>
      <c r="I410" s="9">
        <v>0</v>
      </c>
      <c r="J410" s="824"/>
      <c r="K410" s="822"/>
    </row>
    <row r="411" spans="1:11" s="2" customFormat="1" hidden="1">
      <c r="A411" s="762"/>
      <c r="B411" s="825"/>
      <c r="C411" s="762"/>
      <c r="D411" s="314">
        <v>2019</v>
      </c>
      <c r="E411" s="8">
        <f t="shared" si="30"/>
        <v>0</v>
      </c>
      <c r="F411" s="9">
        <v>0</v>
      </c>
      <c r="G411" s="9">
        <v>0</v>
      </c>
      <c r="H411" s="9">
        <v>0</v>
      </c>
      <c r="I411" s="9">
        <v>0</v>
      </c>
      <c r="J411" s="824"/>
      <c r="K411" s="822"/>
    </row>
    <row r="412" spans="1:11" s="2" customFormat="1" hidden="1">
      <c r="A412" s="762"/>
      <c r="B412" s="825"/>
      <c r="C412" s="762"/>
      <c r="D412" s="314">
        <v>2020</v>
      </c>
      <c r="E412" s="8">
        <f t="shared" si="30"/>
        <v>0</v>
      </c>
      <c r="F412" s="9">
        <v>0</v>
      </c>
      <c r="G412" s="9">
        <v>0</v>
      </c>
      <c r="H412" s="9">
        <v>0</v>
      </c>
      <c r="I412" s="9">
        <v>0</v>
      </c>
      <c r="J412" s="824"/>
      <c r="K412" s="822"/>
    </row>
    <row r="413" spans="1:11" s="2" customFormat="1" ht="15" customHeight="1">
      <c r="A413" s="762" t="s">
        <v>264</v>
      </c>
      <c r="B413" s="825" t="s">
        <v>265</v>
      </c>
      <c r="C413" s="762">
        <v>2019</v>
      </c>
      <c r="D413" s="51" t="s">
        <v>8</v>
      </c>
      <c r="E413" s="8">
        <f t="shared" si="30"/>
        <v>10438.4</v>
      </c>
      <c r="F413" s="8">
        <f>SUM(F414:F418)</f>
        <v>8747.4</v>
      </c>
      <c r="G413" s="8">
        <f>SUM(G414:G418)</f>
        <v>0</v>
      </c>
      <c r="H413" s="8">
        <f>SUM(H414:H418)</f>
        <v>1691</v>
      </c>
      <c r="I413" s="8">
        <f>SUM(I414:I418)</f>
        <v>0</v>
      </c>
      <c r="J413" s="824" t="s">
        <v>266</v>
      </c>
      <c r="K413" s="822" t="s">
        <v>169</v>
      </c>
    </row>
    <row r="414" spans="1:11" s="2" customFormat="1">
      <c r="A414" s="762"/>
      <c r="B414" s="825"/>
      <c r="C414" s="762"/>
      <c r="D414" s="51">
        <v>2016</v>
      </c>
      <c r="E414" s="8">
        <f t="shared" si="30"/>
        <v>0</v>
      </c>
      <c r="F414" s="9">
        <v>0</v>
      </c>
      <c r="G414" s="9">
        <v>0</v>
      </c>
      <c r="H414" s="9">
        <v>0</v>
      </c>
      <c r="I414" s="9">
        <v>0</v>
      </c>
      <c r="J414" s="824"/>
      <c r="K414" s="822"/>
    </row>
    <row r="415" spans="1:11" s="2" customFormat="1">
      <c r="A415" s="762"/>
      <c r="B415" s="825"/>
      <c r="C415" s="762"/>
      <c r="D415" s="51">
        <v>2017</v>
      </c>
      <c r="E415" s="8">
        <f t="shared" si="30"/>
        <v>0</v>
      </c>
      <c r="F415" s="9">
        <v>0</v>
      </c>
      <c r="G415" s="9">
        <v>0</v>
      </c>
      <c r="H415" s="9">
        <v>0</v>
      </c>
      <c r="I415" s="9">
        <v>0</v>
      </c>
      <c r="J415" s="824"/>
      <c r="K415" s="822"/>
    </row>
    <row r="416" spans="1:11" s="2" customFormat="1">
      <c r="A416" s="762"/>
      <c r="B416" s="825"/>
      <c r="C416" s="762"/>
      <c r="D416" s="314">
        <v>2018</v>
      </c>
      <c r="E416" s="8">
        <f t="shared" si="30"/>
        <v>0</v>
      </c>
      <c r="F416" s="9">
        <v>0</v>
      </c>
      <c r="G416" s="9">
        <v>0</v>
      </c>
      <c r="H416" s="9">
        <v>0</v>
      </c>
      <c r="I416" s="9">
        <v>0</v>
      </c>
      <c r="J416" s="824"/>
      <c r="K416" s="822"/>
    </row>
    <row r="417" spans="1:12" s="2" customFormat="1">
      <c r="A417" s="762"/>
      <c r="B417" s="825"/>
      <c r="C417" s="762"/>
      <c r="D417" s="314">
        <v>2019</v>
      </c>
      <c r="E417" s="8">
        <f t="shared" ref="E417:E418" si="31">SUM(F417:I417)</f>
        <v>10438.4</v>
      </c>
      <c r="F417" s="9">
        <v>8747.4</v>
      </c>
      <c r="G417" s="9">
        <v>0</v>
      </c>
      <c r="H417" s="9">
        <v>1691</v>
      </c>
      <c r="I417" s="9">
        <v>0</v>
      </c>
      <c r="J417" s="824"/>
      <c r="K417" s="822"/>
    </row>
    <row r="418" spans="1:12" s="2" customFormat="1">
      <c r="A418" s="762"/>
      <c r="B418" s="825"/>
      <c r="C418" s="762"/>
      <c r="D418" s="314">
        <v>2020</v>
      </c>
      <c r="E418" s="8">
        <f t="shared" si="31"/>
        <v>0</v>
      </c>
      <c r="F418" s="9">
        <v>0</v>
      </c>
      <c r="G418" s="9">
        <v>0</v>
      </c>
      <c r="H418" s="9">
        <v>0</v>
      </c>
      <c r="I418" s="9">
        <v>0</v>
      </c>
      <c r="J418" s="824"/>
      <c r="K418" s="822"/>
    </row>
    <row r="419" spans="1:12" ht="15" customHeight="1">
      <c r="A419" s="753" t="s">
        <v>296</v>
      </c>
      <c r="B419" s="820" t="s">
        <v>297</v>
      </c>
      <c r="C419" s="755" t="s">
        <v>187</v>
      </c>
      <c r="D419" s="314" t="s">
        <v>8</v>
      </c>
      <c r="E419" s="8">
        <f t="shared" ref="E419:I424" si="32">E425</f>
        <v>283000</v>
      </c>
      <c r="F419" s="8">
        <f t="shared" si="32"/>
        <v>122350</v>
      </c>
      <c r="G419" s="8">
        <f t="shared" si="32"/>
        <v>0</v>
      </c>
      <c r="H419" s="8">
        <f t="shared" si="32"/>
        <v>132350</v>
      </c>
      <c r="I419" s="8">
        <f t="shared" si="32"/>
        <v>28300</v>
      </c>
      <c r="J419" s="824" t="s">
        <v>81</v>
      </c>
      <c r="K419" s="822" t="s">
        <v>298</v>
      </c>
      <c r="L419" s="761"/>
    </row>
    <row r="420" spans="1:12">
      <c r="A420" s="753"/>
      <c r="B420" s="820"/>
      <c r="C420" s="755"/>
      <c r="D420" s="314">
        <v>2016</v>
      </c>
      <c r="E420" s="8">
        <f t="shared" si="32"/>
        <v>0</v>
      </c>
      <c r="F420" s="8">
        <f t="shared" si="32"/>
        <v>0</v>
      </c>
      <c r="G420" s="8">
        <f t="shared" si="32"/>
        <v>0</v>
      </c>
      <c r="H420" s="8">
        <f t="shared" si="32"/>
        <v>0</v>
      </c>
      <c r="I420" s="8">
        <f t="shared" si="32"/>
        <v>0</v>
      </c>
      <c r="J420" s="824"/>
      <c r="K420" s="822"/>
      <c r="L420" s="761"/>
    </row>
    <row r="421" spans="1:12">
      <c r="A421" s="753"/>
      <c r="B421" s="820"/>
      <c r="C421" s="755"/>
      <c r="D421" s="314">
        <v>2017</v>
      </c>
      <c r="E421" s="8">
        <f t="shared" si="32"/>
        <v>0</v>
      </c>
      <c r="F421" s="8">
        <f t="shared" si="32"/>
        <v>0</v>
      </c>
      <c r="G421" s="8">
        <f t="shared" si="32"/>
        <v>0</v>
      </c>
      <c r="H421" s="8">
        <f t="shared" si="32"/>
        <v>0</v>
      </c>
      <c r="I421" s="8">
        <f t="shared" si="32"/>
        <v>0</v>
      </c>
      <c r="J421" s="824"/>
      <c r="K421" s="822"/>
      <c r="L421" s="761"/>
    </row>
    <row r="422" spans="1:12">
      <c r="A422" s="753"/>
      <c r="B422" s="820"/>
      <c r="C422" s="755"/>
      <c r="D422" s="314">
        <v>2018</v>
      </c>
      <c r="E422" s="8">
        <f t="shared" si="32"/>
        <v>10000</v>
      </c>
      <c r="F422" s="8">
        <f t="shared" si="32"/>
        <v>0</v>
      </c>
      <c r="G422" s="8">
        <f t="shared" si="32"/>
        <v>0</v>
      </c>
      <c r="H422" s="8">
        <f t="shared" si="32"/>
        <v>10000</v>
      </c>
      <c r="I422" s="8">
        <f t="shared" si="32"/>
        <v>0</v>
      </c>
      <c r="J422" s="824"/>
      <c r="K422" s="822"/>
      <c r="L422" s="761"/>
    </row>
    <row r="423" spans="1:12">
      <c r="A423" s="753"/>
      <c r="B423" s="820"/>
      <c r="C423" s="755"/>
      <c r="D423" s="314">
        <v>2019</v>
      </c>
      <c r="E423" s="8">
        <f t="shared" si="32"/>
        <v>148300</v>
      </c>
      <c r="F423" s="8">
        <f>F429</f>
        <v>60000</v>
      </c>
      <c r="G423" s="8">
        <f t="shared" si="32"/>
        <v>0</v>
      </c>
      <c r="H423" s="8">
        <f t="shared" si="32"/>
        <v>60000</v>
      </c>
      <c r="I423" s="8">
        <f t="shared" si="32"/>
        <v>28300</v>
      </c>
      <c r="J423" s="824"/>
      <c r="K423" s="822"/>
      <c r="L423" s="761"/>
    </row>
    <row r="424" spans="1:12">
      <c r="A424" s="753"/>
      <c r="B424" s="820"/>
      <c r="C424" s="755"/>
      <c r="D424" s="314">
        <v>2020</v>
      </c>
      <c r="E424" s="8">
        <f t="shared" si="32"/>
        <v>124700</v>
      </c>
      <c r="F424" s="9">
        <f>F430</f>
        <v>62350</v>
      </c>
      <c r="G424" s="9">
        <f t="shared" si="32"/>
        <v>0</v>
      </c>
      <c r="H424" s="9">
        <f t="shared" si="32"/>
        <v>62350</v>
      </c>
      <c r="I424" s="8">
        <f t="shared" si="32"/>
        <v>0</v>
      </c>
      <c r="J424" s="824"/>
      <c r="K424" s="822"/>
      <c r="L424" s="313"/>
    </row>
    <row r="425" spans="1:12" ht="15" customHeight="1">
      <c r="A425" s="753" t="s">
        <v>299</v>
      </c>
      <c r="B425" s="820" t="s">
        <v>300</v>
      </c>
      <c r="C425" s="755" t="s">
        <v>187</v>
      </c>
      <c r="D425" s="314" t="s">
        <v>8</v>
      </c>
      <c r="E425" s="8">
        <f t="shared" ref="E425:E448" si="33">SUM(F425:I425)</f>
        <v>283000</v>
      </c>
      <c r="F425" s="8">
        <f>SUM(F426:F430)</f>
        <v>122350</v>
      </c>
      <c r="G425" s="8">
        <f>SUM(G426:G430)</f>
        <v>0</v>
      </c>
      <c r="H425" s="8">
        <f>SUM(H426:H430)</f>
        <v>132350</v>
      </c>
      <c r="I425" s="8">
        <f>SUM(I426:I430)</f>
        <v>28300</v>
      </c>
      <c r="J425" s="824" t="s">
        <v>301</v>
      </c>
      <c r="K425" s="822" t="s">
        <v>298</v>
      </c>
      <c r="L425" s="761"/>
    </row>
    <row r="426" spans="1:12">
      <c r="A426" s="753"/>
      <c r="B426" s="820"/>
      <c r="C426" s="755"/>
      <c r="D426" s="314">
        <v>2016</v>
      </c>
      <c r="E426" s="8">
        <f t="shared" si="33"/>
        <v>0</v>
      </c>
      <c r="F426" s="9">
        <v>0</v>
      </c>
      <c r="G426" s="9">
        <v>0</v>
      </c>
      <c r="H426" s="9">
        <v>0</v>
      </c>
      <c r="I426" s="9">
        <v>0</v>
      </c>
      <c r="J426" s="824"/>
      <c r="K426" s="822"/>
      <c r="L426" s="761"/>
    </row>
    <row r="427" spans="1:12">
      <c r="A427" s="753"/>
      <c r="B427" s="820"/>
      <c r="C427" s="755"/>
      <c r="D427" s="314">
        <v>2017</v>
      </c>
      <c r="E427" s="8">
        <f t="shared" si="33"/>
        <v>0</v>
      </c>
      <c r="F427" s="9">
        <v>0</v>
      </c>
      <c r="G427" s="9">
        <v>0</v>
      </c>
      <c r="H427" s="9">
        <v>0</v>
      </c>
      <c r="I427" s="9">
        <v>0</v>
      </c>
      <c r="J427" s="824"/>
      <c r="K427" s="822"/>
      <c r="L427" s="761"/>
    </row>
    <row r="428" spans="1:12">
      <c r="A428" s="753"/>
      <c r="B428" s="820"/>
      <c r="C428" s="755"/>
      <c r="D428" s="314">
        <v>2018</v>
      </c>
      <c r="E428" s="8">
        <f t="shared" si="33"/>
        <v>10000</v>
      </c>
      <c r="F428" s="9">
        <v>0</v>
      </c>
      <c r="G428" s="9">
        <v>0</v>
      </c>
      <c r="H428" s="9">
        <v>10000</v>
      </c>
      <c r="I428" s="9">
        <v>0</v>
      </c>
      <c r="J428" s="824"/>
      <c r="K428" s="822"/>
      <c r="L428" s="761"/>
    </row>
    <row r="429" spans="1:12">
      <c r="A429" s="753"/>
      <c r="B429" s="820"/>
      <c r="C429" s="755"/>
      <c r="D429" s="314">
        <v>2019</v>
      </c>
      <c r="E429" s="8">
        <f t="shared" si="33"/>
        <v>148300</v>
      </c>
      <c r="F429" s="9">
        <v>60000</v>
      </c>
      <c r="G429" s="9">
        <v>0</v>
      </c>
      <c r="H429" s="9">
        <v>60000</v>
      </c>
      <c r="I429" s="105">
        <v>28300</v>
      </c>
      <c r="J429" s="824"/>
      <c r="K429" s="822"/>
      <c r="L429" s="761"/>
    </row>
    <row r="430" spans="1:12">
      <c r="A430" s="753"/>
      <c r="B430" s="820"/>
      <c r="C430" s="755"/>
      <c r="D430" s="314">
        <v>2020</v>
      </c>
      <c r="E430" s="8">
        <f t="shared" si="33"/>
        <v>124700</v>
      </c>
      <c r="F430" s="106">
        <v>62350</v>
      </c>
      <c r="G430" s="9">
        <v>0</v>
      </c>
      <c r="H430" s="106">
        <v>62350</v>
      </c>
      <c r="I430" s="9">
        <v>0</v>
      </c>
      <c r="J430" s="824"/>
      <c r="K430" s="822"/>
      <c r="L430" s="313"/>
    </row>
    <row r="431" spans="1:12" ht="15" customHeight="1">
      <c r="A431" s="753" t="s">
        <v>129</v>
      </c>
      <c r="B431" s="822" t="s">
        <v>130</v>
      </c>
      <c r="C431" s="755" t="s">
        <v>14</v>
      </c>
      <c r="D431" s="314" t="s">
        <v>8</v>
      </c>
      <c r="E431" s="8">
        <f t="shared" si="33"/>
        <v>135904.4</v>
      </c>
      <c r="F431" s="8">
        <f>SUM(F432:F436)</f>
        <v>135904.4</v>
      </c>
      <c r="G431" s="9">
        <v>0</v>
      </c>
      <c r="H431" s="9">
        <v>0</v>
      </c>
      <c r="I431" s="9">
        <v>0</v>
      </c>
      <c r="J431" s="834"/>
      <c r="K431" s="822" t="s">
        <v>26</v>
      </c>
    </row>
    <row r="432" spans="1:12">
      <c r="A432" s="753"/>
      <c r="B432" s="822"/>
      <c r="C432" s="755"/>
      <c r="D432" s="314">
        <v>2016</v>
      </c>
      <c r="E432" s="8">
        <f t="shared" si="33"/>
        <v>25539.5</v>
      </c>
      <c r="F432" s="9">
        <f>SUM(F438)</f>
        <v>25539.5</v>
      </c>
      <c r="G432" s="9">
        <v>0</v>
      </c>
      <c r="H432" s="9">
        <v>0</v>
      </c>
      <c r="I432" s="9">
        <v>0</v>
      </c>
      <c r="J432" s="834"/>
      <c r="K432" s="822"/>
    </row>
    <row r="433" spans="1:32">
      <c r="A433" s="753"/>
      <c r="B433" s="822"/>
      <c r="C433" s="755"/>
      <c r="D433" s="314">
        <v>2017</v>
      </c>
      <c r="E433" s="8">
        <f t="shared" si="33"/>
        <v>25743.200000000001</v>
      </c>
      <c r="F433" s="9">
        <f>SUM(F439)</f>
        <v>25743.200000000001</v>
      </c>
      <c r="G433" s="9">
        <v>0</v>
      </c>
      <c r="H433" s="9">
        <v>0</v>
      </c>
      <c r="I433" s="9">
        <v>0</v>
      </c>
      <c r="J433" s="834"/>
      <c r="K433" s="822"/>
    </row>
    <row r="434" spans="1:32">
      <c r="A434" s="753"/>
      <c r="B434" s="822"/>
      <c r="C434" s="755"/>
      <c r="D434" s="314">
        <v>2018</v>
      </c>
      <c r="E434" s="8">
        <f t="shared" si="33"/>
        <v>28126.2</v>
      </c>
      <c r="F434" s="9">
        <f>SUM(F440)</f>
        <v>28126.2</v>
      </c>
      <c r="G434" s="9">
        <v>0</v>
      </c>
      <c r="H434" s="9">
        <v>0</v>
      </c>
      <c r="I434" s="9">
        <v>0</v>
      </c>
      <c r="J434" s="834"/>
      <c r="K434" s="822"/>
    </row>
    <row r="435" spans="1:32">
      <c r="A435" s="753"/>
      <c r="B435" s="822"/>
      <c r="C435" s="755"/>
      <c r="D435" s="314">
        <v>2019</v>
      </c>
      <c r="E435" s="8">
        <f t="shared" si="33"/>
        <v>27726</v>
      </c>
      <c r="F435" s="9">
        <f>SUM(F441)</f>
        <v>27726</v>
      </c>
      <c r="G435" s="9">
        <v>0</v>
      </c>
      <c r="H435" s="9">
        <v>0</v>
      </c>
      <c r="I435" s="9">
        <v>0</v>
      </c>
      <c r="J435" s="834"/>
      <c r="K435" s="822"/>
    </row>
    <row r="436" spans="1:32">
      <c r="A436" s="753"/>
      <c r="B436" s="822"/>
      <c r="C436" s="755"/>
      <c r="D436" s="314">
        <v>2020</v>
      </c>
      <c r="E436" s="8">
        <f t="shared" si="33"/>
        <v>28769.5</v>
      </c>
      <c r="F436" s="9">
        <f>SUM(F442)</f>
        <v>28769.5</v>
      </c>
      <c r="G436" s="9">
        <v>0</v>
      </c>
      <c r="H436" s="9">
        <v>0</v>
      </c>
      <c r="I436" s="9">
        <v>0</v>
      </c>
      <c r="J436" s="834"/>
      <c r="K436" s="822"/>
    </row>
    <row r="437" spans="1:32" ht="17.100000000000001" customHeight="1">
      <c r="A437" s="753" t="s">
        <v>131</v>
      </c>
      <c r="B437" s="825" t="s">
        <v>132</v>
      </c>
      <c r="C437" s="755" t="s">
        <v>14</v>
      </c>
      <c r="D437" s="314" t="s">
        <v>8</v>
      </c>
      <c r="E437" s="8">
        <f t="shared" si="33"/>
        <v>135904.4</v>
      </c>
      <c r="F437" s="8">
        <f>SUM(F438:F442)</f>
        <v>135904.4</v>
      </c>
      <c r="G437" s="8">
        <f>SUM(G438:G442)</f>
        <v>0</v>
      </c>
      <c r="H437" s="8">
        <f>SUM(H438:H442)</f>
        <v>0</v>
      </c>
      <c r="I437" s="8">
        <f>SUM(I438:I442)</f>
        <v>0</v>
      </c>
      <c r="J437" s="824" t="s">
        <v>133</v>
      </c>
      <c r="K437" s="822" t="s">
        <v>26</v>
      </c>
    </row>
    <row r="438" spans="1:32" ht="17.100000000000001" customHeight="1">
      <c r="A438" s="753"/>
      <c r="B438" s="825"/>
      <c r="C438" s="755"/>
      <c r="D438" s="314">
        <v>2016</v>
      </c>
      <c r="E438" s="8">
        <f t="shared" si="33"/>
        <v>25539.5</v>
      </c>
      <c r="F438" s="9">
        <f t="shared" ref="F438:I442" si="34">SUM(F444)</f>
        <v>25539.5</v>
      </c>
      <c r="G438" s="9">
        <f t="shared" si="34"/>
        <v>0</v>
      </c>
      <c r="H438" s="9">
        <f t="shared" si="34"/>
        <v>0</v>
      </c>
      <c r="I438" s="9">
        <f t="shared" si="34"/>
        <v>0</v>
      </c>
      <c r="J438" s="824"/>
      <c r="K438" s="822"/>
    </row>
    <row r="439" spans="1:32" ht="17.100000000000001" customHeight="1">
      <c r="A439" s="753"/>
      <c r="B439" s="825"/>
      <c r="C439" s="755"/>
      <c r="D439" s="314">
        <v>2017</v>
      </c>
      <c r="E439" s="8">
        <f t="shared" si="33"/>
        <v>25743.200000000001</v>
      </c>
      <c r="F439" s="9">
        <f t="shared" si="34"/>
        <v>25743.200000000001</v>
      </c>
      <c r="G439" s="9">
        <f t="shared" si="34"/>
        <v>0</v>
      </c>
      <c r="H439" s="9">
        <f t="shared" si="34"/>
        <v>0</v>
      </c>
      <c r="I439" s="9">
        <f t="shared" si="34"/>
        <v>0</v>
      </c>
      <c r="J439" s="824"/>
      <c r="K439" s="822"/>
    </row>
    <row r="440" spans="1:32" ht="17.100000000000001" customHeight="1">
      <c r="A440" s="753"/>
      <c r="B440" s="825"/>
      <c r="C440" s="755"/>
      <c r="D440" s="314">
        <v>2018</v>
      </c>
      <c r="E440" s="8">
        <f t="shared" si="33"/>
        <v>28126.2</v>
      </c>
      <c r="F440" s="9">
        <f t="shared" si="34"/>
        <v>28126.2</v>
      </c>
      <c r="G440" s="9">
        <f t="shared" si="34"/>
        <v>0</v>
      </c>
      <c r="H440" s="9">
        <f t="shared" si="34"/>
        <v>0</v>
      </c>
      <c r="I440" s="9">
        <f t="shared" si="34"/>
        <v>0</v>
      </c>
      <c r="J440" s="824"/>
      <c r="K440" s="822"/>
    </row>
    <row r="441" spans="1:32" ht="17.100000000000001" customHeight="1">
      <c r="A441" s="753"/>
      <c r="B441" s="825"/>
      <c r="C441" s="755"/>
      <c r="D441" s="314">
        <v>2019</v>
      </c>
      <c r="E441" s="8">
        <f t="shared" si="33"/>
        <v>27726</v>
      </c>
      <c r="F441" s="9">
        <f t="shared" si="34"/>
        <v>27726</v>
      </c>
      <c r="G441" s="9">
        <f t="shared" si="34"/>
        <v>0</v>
      </c>
      <c r="H441" s="9">
        <f t="shared" si="34"/>
        <v>0</v>
      </c>
      <c r="I441" s="9">
        <f t="shared" si="34"/>
        <v>0</v>
      </c>
      <c r="J441" s="824"/>
      <c r="K441" s="822"/>
    </row>
    <row r="442" spans="1:32" ht="17.100000000000001" customHeight="1">
      <c r="A442" s="753"/>
      <c r="B442" s="825"/>
      <c r="C442" s="755"/>
      <c r="D442" s="314">
        <v>2020</v>
      </c>
      <c r="E442" s="8">
        <f t="shared" si="33"/>
        <v>28769.5</v>
      </c>
      <c r="F442" s="9">
        <f t="shared" si="34"/>
        <v>28769.5</v>
      </c>
      <c r="G442" s="9">
        <f t="shared" si="34"/>
        <v>0</v>
      </c>
      <c r="H442" s="9">
        <f t="shared" si="34"/>
        <v>0</v>
      </c>
      <c r="I442" s="9">
        <f t="shared" si="34"/>
        <v>0</v>
      </c>
      <c r="J442" s="824"/>
      <c r="K442" s="822"/>
    </row>
    <row r="443" spans="1:32" s="2" customFormat="1" ht="17.100000000000001" customHeight="1">
      <c r="A443" s="753" t="s">
        <v>134</v>
      </c>
      <c r="B443" s="820" t="s">
        <v>135</v>
      </c>
      <c r="C443" s="755" t="s">
        <v>14</v>
      </c>
      <c r="D443" s="314" t="s">
        <v>8</v>
      </c>
      <c r="E443" s="8">
        <f t="shared" si="33"/>
        <v>135904.4</v>
      </c>
      <c r="F443" s="8">
        <f>SUM(F444:F448)</f>
        <v>135904.4</v>
      </c>
      <c r="G443" s="9">
        <v>0</v>
      </c>
      <c r="H443" s="9">
        <v>0</v>
      </c>
      <c r="I443" s="9">
        <v>0</v>
      </c>
      <c r="J443" s="824" t="s">
        <v>136</v>
      </c>
      <c r="K443" s="822" t="s">
        <v>26</v>
      </c>
    </row>
    <row r="444" spans="1:32" s="2" customFormat="1" ht="17.100000000000001" customHeight="1">
      <c r="A444" s="753"/>
      <c r="B444" s="820"/>
      <c r="C444" s="755"/>
      <c r="D444" s="314">
        <v>2016</v>
      </c>
      <c r="E444" s="8">
        <f t="shared" si="33"/>
        <v>25539.5</v>
      </c>
      <c r="F444" s="9">
        <v>25539.5</v>
      </c>
      <c r="G444" s="9">
        <v>0</v>
      </c>
      <c r="H444" s="9">
        <v>0</v>
      </c>
      <c r="I444" s="9">
        <v>0</v>
      </c>
      <c r="J444" s="824"/>
      <c r="K444" s="822"/>
    </row>
    <row r="445" spans="1:32" s="2" customFormat="1" ht="17.100000000000001" customHeight="1">
      <c r="A445" s="753"/>
      <c r="B445" s="820"/>
      <c r="C445" s="755"/>
      <c r="D445" s="314">
        <v>2017</v>
      </c>
      <c r="E445" s="8">
        <f t="shared" si="33"/>
        <v>25743.200000000001</v>
      </c>
      <c r="F445" s="9">
        <v>25743.200000000001</v>
      </c>
      <c r="G445" s="9">
        <v>0</v>
      </c>
      <c r="H445" s="9">
        <v>0</v>
      </c>
      <c r="I445" s="9">
        <v>0</v>
      </c>
      <c r="J445" s="824"/>
      <c r="K445" s="822"/>
    </row>
    <row r="446" spans="1:32" s="2" customFormat="1" ht="17.100000000000001" customHeight="1">
      <c r="A446" s="753"/>
      <c r="B446" s="820"/>
      <c r="C446" s="755"/>
      <c r="D446" s="314">
        <v>2018</v>
      </c>
      <c r="E446" s="8">
        <f>SUM(F446:I446)</f>
        <v>28126.2</v>
      </c>
      <c r="F446" s="9">
        <v>28126.2</v>
      </c>
      <c r="G446" s="9">
        <v>0</v>
      </c>
      <c r="H446" s="9">
        <v>0</v>
      </c>
      <c r="I446" s="9">
        <v>0</v>
      </c>
      <c r="J446" s="824"/>
      <c r="K446" s="822"/>
    </row>
    <row r="447" spans="1:32" s="2" customFormat="1" ht="17.100000000000001" customHeight="1">
      <c r="A447" s="753"/>
      <c r="B447" s="820"/>
      <c r="C447" s="755"/>
      <c r="D447" s="314">
        <v>2019</v>
      </c>
      <c r="E447" s="8">
        <f t="shared" si="33"/>
        <v>27726</v>
      </c>
      <c r="F447" s="9">
        <v>27726</v>
      </c>
      <c r="G447" s="9">
        <v>0</v>
      </c>
      <c r="H447" s="9">
        <v>0</v>
      </c>
      <c r="I447" s="9">
        <v>0</v>
      </c>
      <c r="J447" s="824"/>
      <c r="K447" s="822"/>
    </row>
    <row r="448" spans="1:32" s="52" customFormat="1" ht="17.100000000000001" customHeight="1">
      <c r="A448" s="753"/>
      <c r="B448" s="820"/>
      <c r="C448" s="755"/>
      <c r="D448" s="314">
        <v>2020</v>
      </c>
      <c r="E448" s="8">
        <f t="shared" si="33"/>
        <v>28769.5</v>
      </c>
      <c r="F448" s="9">
        <v>28769.5</v>
      </c>
      <c r="G448" s="9">
        <v>0</v>
      </c>
      <c r="H448" s="9">
        <v>0</v>
      </c>
      <c r="I448" s="9">
        <v>0</v>
      </c>
      <c r="J448" s="824"/>
      <c r="K448" s="833"/>
      <c r="L448" s="95"/>
      <c r="M448" s="95"/>
      <c r="N448" s="95"/>
      <c r="O448" s="95"/>
      <c r="P448" s="95"/>
      <c r="Q448" s="95"/>
      <c r="R448" s="95"/>
      <c r="S448" s="95"/>
      <c r="T448" s="95"/>
      <c r="U448" s="95"/>
      <c r="V448" s="95"/>
      <c r="W448" s="95"/>
      <c r="X448" s="95"/>
      <c r="Y448" s="95"/>
      <c r="Z448" s="95"/>
      <c r="AA448" s="95"/>
      <c r="AB448" s="95"/>
      <c r="AC448" s="95"/>
      <c r="AD448" s="95"/>
      <c r="AE448" s="95"/>
      <c r="AF448" s="95"/>
    </row>
    <row r="449" spans="1:11" ht="17.100000000000001" customHeight="1">
      <c r="A449" s="16"/>
      <c r="B449" s="107"/>
      <c r="C449" s="18"/>
      <c r="D449" s="18"/>
      <c r="E449" s="23"/>
      <c r="F449" s="24"/>
      <c r="G449" s="24"/>
      <c r="H449" s="24"/>
      <c r="I449" s="20"/>
      <c r="J449" s="108"/>
      <c r="K449" s="109"/>
    </row>
    <row r="450" spans="1:11" ht="17.100000000000001" customHeight="1">
      <c r="A450" s="16"/>
      <c r="B450" s="107"/>
      <c r="C450" s="18"/>
      <c r="D450" s="18"/>
      <c r="E450" s="19"/>
      <c r="F450" s="20"/>
      <c r="G450" s="20"/>
      <c r="H450" s="20"/>
      <c r="I450" s="20"/>
      <c r="J450" s="108"/>
      <c r="K450" s="109"/>
    </row>
    <row r="451" spans="1:11">
      <c r="A451" s="25"/>
      <c r="B451" s="110"/>
      <c r="C451" s="10"/>
      <c r="D451" s="111"/>
      <c r="E451" s="27"/>
      <c r="F451" s="28"/>
      <c r="G451" s="27"/>
      <c r="H451" s="27"/>
      <c r="I451" s="27"/>
      <c r="J451" s="112"/>
      <c r="K451" s="113"/>
    </row>
    <row r="452" spans="1:11">
      <c r="A452" s="31"/>
      <c r="B452" s="114"/>
      <c r="C452" s="31"/>
      <c r="D452" s="31"/>
      <c r="E452" s="33"/>
      <c r="F452" s="34"/>
      <c r="G452" s="33"/>
      <c r="H452" s="33"/>
      <c r="I452" s="33"/>
      <c r="J452" s="115"/>
      <c r="K452" s="114"/>
    </row>
  </sheetData>
  <mergeCells count="380">
    <mergeCell ref="A443:A448"/>
    <mergeCell ref="B443:B448"/>
    <mergeCell ref="C443:C448"/>
    <mergeCell ref="J443:J448"/>
    <mergeCell ref="K443:K448"/>
    <mergeCell ref="A431:A436"/>
    <mergeCell ref="B431:B436"/>
    <mergeCell ref="C431:C436"/>
    <mergeCell ref="J431:J436"/>
    <mergeCell ref="K431:K436"/>
    <mergeCell ref="A437:A442"/>
    <mergeCell ref="B437:B442"/>
    <mergeCell ref="C437:C442"/>
    <mergeCell ref="J437:J442"/>
    <mergeCell ref="K437:K442"/>
    <mergeCell ref="A425:A430"/>
    <mergeCell ref="B425:B430"/>
    <mergeCell ref="C425:C430"/>
    <mergeCell ref="J425:J430"/>
    <mergeCell ref="K425:K430"/>
    <mergeCell ref="L425:L429"/>
    <mergeCell ref="A419:A424"/>
    <mergeCell ref="B419:B424"/>
    <mergeCell ref="C419:C424"/>
    <mergeCell ref="J419:J424"/>
    <mergeCell ref="K419:K424"/>
    <mergeCell ref="L419:L423"/>
    <mergeCell ref="A407:A412"/>
    <mergeCell ref="B407:B412"/>
    <mergeCell ref="C407:C412"/>
    <mergeCell ref="J407:J412"/>
    <mergeCell ref="K407:K412"/>
    <mergeCell ref="A413:A418"/>
    <mergeCell ref="B413:B418"/>
    <mergeCell ref="C413:C418"/>
    <mergeCell ref="J413:J418"/>
    <mergeCell ref="K413:K418"/>
    <mergeCell ref="A395:A400"/>
    <mergeCell ref="B395:B400"/>
    <mergeCell ref="C395:C400"/>
    <mergeCell ref="J395:J400"/>
    <mergeCell ref="K395:K400"/>
    <mergeCell ref="A401:A406"/>
    <mergeCell ref="B401:B406"/>
    <mergeCell ref="C401:C406"/>
    <mergeCell ref="J401:J406"/>
    <mergeCell ref="K401:K406"/>
    <mergeCell ref="A383:A388"/>
    <mergeCell ref="B383:B388"/>
    <mergeCell ref="C383:C388"/>
    <mergeCell ref="J383:J388"/>
    <mergeCell ref="K383:K388"/>
    <mergeCell ref="A389:A394"/>
    <mergeCell ref="B389:B394"/>
    <mergeCell ref="C389:C394"/>
    <mergeCell ref="J389:J394"/>
    <mergeCell ref="K389:K394"/>
    <mergeCell ref="A371:A376"/>
    <mergeCell ref="B371:B376"/>
    <mergeCell ref="C371:C376"/>
    <mergeCell ref="J371:J376"/>
    <mergeCell ref="K371:K376"/>
    <mergeCell ref="A377:A382"/>
    <mergeCell ref="B377:B382"/>
    <mergeCell ref="C377:C382"/>
    <mergeCell ref="J377:J382"/>
    <mergeCell ref="K377:K382"/>
    <mergeCell ref="A359:A364"/>
    <mergeCell ref="B359:B364"/>
    <mergeCell ref="C359:C364"/>
    <mergeCell ref="J359:J364"/>
    <mergeCell ref="K359:K364"/>
    <mergeCell ref="A365:A370"/>
    <mergeCell ref="B365:B370"/>
    <mergeCell ref="C365:C370"/>
    <mergeCell ref="J365:J370"/>
    <mergeCell ref="K365:K370"/>
    <mergeCell ref="A347:A352"/>
    <mergeCell ref="B347:B352"/>
    <mergeCell ref="C347:C352"/>
    <mergeCell ref="J347:J352"/>
    <mergeCell ref="K347:K352"/>
    <mergeCell ref="A353:A358"/>
    <mergeCell ref="B353:B358"/>
    <mergeCell ref="C353:C358"/>
    <mergeCell ref="J353:J358"/>
    <mergeCell ref="K353:K358"/>
    <mergeCell ref="A335:A340"/>
    <mergeCell ref="B335:B340"/>
    <mergeCell ref="C335:C340"/>
    <mergeCell ref="J335:J340"/>
    <mergeCell ref="K335:K340"/>
    <mergeCell ref="A341:A346"/>
    <mergeCell ref="B341:B346"/>
    <mergeCell ref="C341:C346"/>
    <mergeCell ref="J341:J346"/>
    <mergeCell ref="K341:K346"/>
    <mergeCell ref="A323:A328"/>
    <mergeCell ref="B323:B328"/>
    <mergeCell ref="C323:C328"/>
    <mergeCell ref="J323:J328"/>
    <mergeCell ref="K323:K328"/>
    <mergeCell ref="A329:A334"/>
    <mergeCell ref="B329:B334"/>
    <mergeCell ref="C329:C334"/>
    <mergeCell ref="J329:J334"/>
    <mergeCell ref="K329:K334"/>
    <mergeCell ref="A311:A316"/>
    <mergeCell ref="B311:B316"/>
    <mergeCell ref="C311:C316"/>
    <mergeCell ref="J311:J316"/>
    <mergeCell ref="K311:K316"/>
    <mergeCell ref="A317:A322"/>
    <mergeCell ref="B317:B322"/>
    <mergeCell ref="C317:C322"/>
    <mergeCell ref="J317:J322"/>
    <mergeCell ref="K317:K322"/>
    <mergeCell ref="L305:L309"/>
    <mergeCell ref="A293:A298"/>
    <mergeCell ref="B293:B298"/>
    <mergeCell ref="C293:C298"/>
    <mergeCell ref="J293:J298"/>
    <mergeCell ref="K293:K298"/>
    <mergeCell ref="A299:A304"/>
    <mergeCell ref="B299:B304"/>
    <mergeCell ref="C299:C304"/>
    <mergeCell ref="J299:J304"/>
    <mergeCell ref="K299:K304"/>
    <mergeCell ref="A287:A292"/>
    <mergeCell ref="B287:B292"/>
    <mergeCell ref="C287:C292"/>
    <mergeCell ref="J287:J292"/>
    <mergeCell ref="K287:K292"/>
    <mergeCell ref="A305:A310"/>
    <mergeCell ref="B305:B310"/>
    <mergeCell ref="C305:C310"/>
    <mergeCell ref="J305:J310"/>
    <mergeCell ref="K305:K310"/>
    <mergeCell ref="A275:A280"/>
    <mergeCell ref="B275:B280"/>
    <mergeCell ref="C275:C280"/>
    <mergeCell ref="J275:J280"/>
    <mergeCell ref="K275:K280"/>
    <mergeCell ref="A281:A286"/>
    <mergeCell ref="B281:B286"/>
    <mergeCell ref="C281:C286"/>
    <mergeCell ref="J281:J286"/>
    <mergeCell ref="K281:K286"/>
    <mergeCell ref="A263:A268"/>
    <mergeCell ref="B263:B268"/>
    <mergeCell ref="C263:C268"/>
    <mergeCell ref="J263:J268"/>
    <mergeCell ref="K263:K268"/>
    <mergeCell ref="A269:A274"/>
    <mergeCell ref="B269:B274"/>
    <mergeCell ref="C269:C274"/>
    <mergeCell ref="J269:J274"/>
    <mergeCell ref="K269:K274"/>
    <mergeCell ref="A251:A256"/>
    <mergeCell ref="B251:B256"/>
    <mergeCell ref="C251:C256"/>
    <mergeCell ref="J251:J256"/>
    <mergeCell ref="K251:K256"/>
    <mergeCell ref="A257:A262"/>
    <mergeCell ref="B257:B262"/>
    <mergeCell ref="C257:C262"/>
    <mergeCell ref="J257:J262"/>
    <mergeCell ref="K257:K262"/>
    <mergeCell ref="A239:A244"/>
    <mergeCell ref="B239:B244"/>
    <mergeCell ref="C239:C244"/>
    <mergeCell ref="J239:J244"/>
    <mergeCell ref="K239:K244"/>
    <mergeCell ref="A245:A250"/>
    <mergeCell ref="B245:B250"/>
    <mergeCell ref="C245:C250"/>
    <mergeCell ref="J245:J250"/>
    <mergeCell ref="K245:K250"/>
    <mergeCell ref="A227:A232"/>
    <mergeCell ref="B227:B232"/>
    <mergeCell ref="C227:C232"/>
    <mergeCell ref="J227:J232"/>
    <mergeCell ref="K227:K232"/>
    <mergeCell ref="A233:A238"/>
    <mergeCell ref="B233:B238"/>
    <mergeCell ref="C233:C238"/>
    <mergeCell ref="J233:J238"/>
    <mergeCell ref="K233:K238"/>
    <mergeCell ref="A215:A220"/>
    <mergeCell ref="B215:B220"/>
    <mergeCell ref="C215:C220"/>
    <mergeCell ref="J215:J220"/>
    <mergeCell ref="K215:K220"/>
    <mergeCell ref="A221:A226"/>
    <mergeCell ref="B221:B226"/>
    <mergeCell ref="C221:C226"/>
    <mergeCell ref="J221:J226"/>
    <mergeCell ref="K221:K226"/>
    <mergeCell ref="A203:A208"/>
    <mergeCell ref="B203:B208"/>
    <mergeCell ref="C203:C208"/>
    <mergeCell ref="J203:J208"/>
    <mergeCell ref="K203:K208"/>
    <mergeCell ref="A209:A214"/>
    <mergeCell ref="B209:B214"/>
    <mergeCell ref="C209:C214"/>
    <mergeCell ref="J209:J214"/>
    <mergeCell ref="K209:K214"/>
    <mergeCell ref="A191:A196"/>
    <mergeCell ref="B191:B196"/>
    <mergeCell ref="C191:C196"/>
    <mergeCell ref="J191:J196"/>
    <mergeCell ref="K191:K196"/>
    <mergeCell ref="A197:A202"/>
    <mergeCell ref="B197:B202"/>
    <mergeCell ref="C197:C202"/>
    <mergeCell ref="J197:J202"/>
    <mergeCell ref="K197:K202"/>
    <mergeCell ref="A179:A184"/>
    <mergeCell ref="B179:B184"/>
    <mergeCell ref="C179:C184"/>
    <mergeCell ref="J179:J184"/>
    <mergeCell ref="K179:K184"/>
    <mergeCell ref="A185:A190"/>
    <mergeCell ref="B185:B190"/>
    <mergeCell ref="C185:C190"/>
    <mergeCell ref="J185:J190"/>
    <mergeCell ref="K185:K190"/>
    <mergeCell ref="A167:A172"/>
    <mergeCell ref="B167:B172"/>
    <mergeCell ref="C167:C172"/>
    <mergeCell ref="J167:J172"/>
    <mergeCell ref="K167:K172"/>
    <mergeCell ref="A173:A178"/>
    <mergeCell ref="B173:B178"/>
    <mergeCell ref="C173:C178"/>
    <mergeCell ref="J173:J178"/>
    <mergeCell ref="K173:K178"/>
    <mergeCell ref="A155:A160"/>
    <mergeCell ref="B155:B160"/>
    <mergeCell ref="C155:C160"/>
    <mergeCell ref="J155:J160"/>
    <mergeCell ref="K155:K160"/>
    <mergeCell ref="A161:A166"/>
    <mergeCell ref="B161:B166"/>
    <mergeCell ref="C161:C166"/>
    <mergeCell ref="J161:J166"/>
    <mergeCell ref="K161:K166"/>
    <mergeCell ref="A143:A148"/>
    <mergeCell ref="B143:B148"/>
    <mergeCell ref="C143:C148"/>
    <mergeCell ref="J143:J148"/>
    <mergeCell ref="K143:K148"/>
    <mergeCell ref="A149:A154"/>
    <mergeCell ref="B149:B154"/>
    <mergeCell ref="C149:C154"/>
    <mergeCell ref="J149:J154"/>
    <mergeCell ref="K149:K154"/>
    <mergeCell ref="A131:A136"/>
    <mergeCell ref="B131:B136"/>
    <mergeCell ref="C131:C136"/>
    <mergeCell ref="J131:J136"/>
    <mergeCell ref="K131:K136"/>
    <mergeCell ref="A137:A142"/>
    <mergeCell ref="B137:B142"/>
    <mergeCell ref="C137:C142"/>
    <mergeCell ref="J137:J142"/>
    <mergeCell ref="K137:K142"/>
    <mergeCell ref="A119:A124"/>
    <mergeCell ref="B119:B124"/>
    <mergeCell ref="C119:C124"/>
    <mergeCell ref="J119:J124"/>
    <mergeCell ref="K119:K124"/>
    <mergeCell ref="A125:A130"/>
    <mergeCell ref="B125:B130"/>
    <mergeCell ref="C125:C130"/>
    <mergeCell ref="J125:J130"/>
    <mergeCell ref="K125:K130"/>
    <mergeCell ref="A107:A112"/>
    <mergeCell ref="B107:B112"/>
    <mergeCell ref="C107:C112"/>
    <mergeCell ref="J107:J112"/>
    <mergeCell ref="K107:K112"/>
    <mergeCell ref="A113:A118"/>
    <mergeCell ref="B113:B118"/>
    <mergeCell ref="C113:C118"/>
    <mergeCell ref="J113:J118"/>
    <mergeCell ref="K113:K118"/>
    <mergeCell ref="A95:A100"/>
    <mergeCell ref="B95:B100"/>
    <mergeCell ref="C95:C100"/>
    <mergeCell ref="J95:J100"/>
    <mergeCell ref="K95:K100"/>
    <mergeCell ref="A101:A106"/>
    <mergeCell ref="B101:B106"/>
    <mergeCell ref="C101:C106"/>
    <mergeCell ref="J101:J106"/>
    <mergeCell ref="K101:K106"/>
    <mergeCell ref="A83:A88"/>
    <mergeCell ref="B83:B88"/>
    <mergeCell ref="C83:C88"/>
    <mergeCell ref="J83:J88"/>
    <mergeCell ref="K83:K88"/>
    <mergeCell ref="A89:A94"/>
    <mergeCell ref="B89:B94"/>
    <mergeCell ref="C89:C94"/>
    <mergeCell ref="J89:J94"/>
    <mergeCell ref="K89:K94"/>
    <mergeCell ref="A71:A76"/>
    <mergeCell ref="B71:B76"/>
    <mergeCell ref="C71:C76"/>
    <mergeCell ref="J71:J76"/>
    <mergeCell ref="K71:K76"/>
    <mergeCell ref="A77:A82"/>
    <mergeCell ref="B77:B82"/>
    <mergeCell ref="C77:C82"/>
    <mergeCell ref="J77:J82"/>
    <mergeCell ref="K77:K82"/>
    <mergeCell ref="A59:A64"/>
    <mergeCell ref="B59:B64"/>
    <mergeCell ref="C59:C64"/>
    <mergeCell ref="J59:J64"/>
    <mergeCell ref="K59:K64"/>
    <mergeCell ref="A65:A70"/>
    <mergeCell ref="B65:B70"/>
    <mergeCell ref="C65:C70"/>
    <mergeCell ref="J65:J70"/>
    <mergeCell ref="K65:K70"/>
    <mergeCell ref="A47:A52"/>
    <mergeCell ref="B47:B52"/>
    <mergeCell ref="C47:C52"/>
    <mergeCell ref="J47:J52"/>
    <mergeCell ref="K47:K52"/>
    <mergeCell ref="A53:A58"/>
    <mergeCell ref="B53:B58"/>
    <mergeCell ref="C53:C58"/>
    <mergeCell ref="J53:J58"/>
    <mergeCell ref="K53:K58"/>
    <mergeCell ref="A35:A40"/>
    <mergeCell ref="B35:B40"/>
    <mergeCell ref="C35:C40"/>
    <mergeCell ref="J35:J40"/>
    <mergeCell ref="K35:K40"/>
    <mergeCell ref="A41:A46"/>
    <mergeCell ref="B41:B46"/>
    <mergeCell ref="C41:C46"/>
    <mergeCell ref="J41:J46"/>
    <mergeCell ref="K41:K46"/>
    <mergeCell ref="A23:A28"/>
    <mergeCell ref="B23:B28"/>
    <mergeCell ref="C23:C28"/>
    <mergeCell ref="J23:J28"/>
    <mergeCell ref="K23:K28"/>
    <mergeCell ref="A29:A34"/>
    <mergeCell ref="B29:B34"/>
    <mergeCell ref="C29:C34"/>
    <mergeCell ref="J29:J34"/>
    <mergeCell ref="K29:K34"/>
    <mergeCell ref="A11:A16"/>
    <mergeCell ref="B11:B16"/>
    <mergeCell ref="C11:C16"/>
    <mergeCell ref="J11:J16"/>
    <mergeCell ref="K11:K16"/>
    <mergeCell ref="A17:A22"/>
    <mergeCell ref="B17:B22"/>
    <mergeCell ref="C17:C22"/>
    <mergeCell ref="J17:J22"/>
    <mergeCell ref="K17:K22"/>
    <mergeCell ref="A1:K2"/>
    <mergeCell ref="A3:A4"/>
    <mergeCell ref="B3:B4"/>
    <mergeCell ref="C3:C4"/>
    <mergeCell ref="D3:I3"/>
    <mergeCell ref="J3:J4"/>
    <mergeCell ref="K3:K4"/>
    <mergeCell ref="A5:A10"/>
    <mergeCell ref="B5:B10"/>
    <mergeCell ref="C5:C10"/>
    <mergeCell ref="J5:J10"/>
    <mergeCell ref="K5:K10"/>
  </mergeCells>
  <printOptions horizontalCentered="1" verticalCentered="1"/>
  <pageMargins left="0.11811023622047245" right="0.11811023622047245" top="0.15748031496062992" bottom="0.15748031496062992" header="0.11811023622047245" footer="0.11811023622047245"/>
  <pageSetup paperSize="9" fitToHeight="14" orientation="landscape" horizontalDpi="1200" r:id="rId1"/>
  <rowBreaks count="9" manualBreakCount="9">
    <brk id="34" max="10" man="1"/>
    <brk id="100" max="10" man="1"/>
    <brk id="136" max="10" man="1"/>
    <brk id="172" max="10" man="1"/>
    <brk id="190" max="10" man="1"/>
    <brk id="232" max="10" man="1"/>
    <brk id="286" max="10" man="1"/>
    <brk id="400" max="10" man="1"/>
    <brk id="4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pageSetUpPr fitToPage="1"/>
  </sheetPr>
  <dimension ref="A1:EG1715"/>
  <sheetViews>
    <sheetView tabSelected="1" zoomScale="87" zoomScaleNormal="87" zoomScaleSheetLayoutView="85" workbookViewId="0">
      <pane xSplit="2" ySplit="3" topLeftCell="C4" activePane="bottomRight" state="frozen"/>
      <selection pane="topRight" activeCell="C1" sqref="C1"/>
      <selection pane="bottomLeft" activeCell="A4" sqref="A4"/>
      <selection pane="bottomRight" activeCell="K319" sqref="K319:K323"/>
    </sheetView>
  </sheetViews>
  <sheetFormatPr defaultColWidth="9.140625" defaultRowHeight="15.75"/>
  <cols>
    <col min="1" max="1" width="11.85546875" style="1406" customWidth="1"/>
    <col min="2" max="2" width="37" style="1407" customWidth="1"/>
    <col min="3" max="3" width="7.85546875" style="668" customWidth="1"/>
    <col min="4" max="4" width="14.28515625" style="1410" customWidth="1"/>
    <col min="5" max="5" width="14.42578125" style="1411" customWidth="1"/>
    <col min="6" max="6" width="14.42578125" style="667" customWidth="1"/>
    <col min="7" max="7" width="17.28515625" style="668" customWidth="1"/>
    <col min="8" max="8" width="27.140625" style="1408" customWidth="1"/>
    <col min="9" max="9" width="49.5703125" style="65" customWidth="1"/>
    <col min="10" max="10" width="24.28515625" style="66" customWidth="1"/>
    <col min="11" max="11" width="28.140625" style="1407" customWidth="1"/>
    <col min="12" max="12" width="102.28515625" style="1409" customWidth="1"/>
    <col min="13" max="13" width="9.140625" style="668"/>
    <col min="14" max="14" width="12" style="36" bestFit="1" customWidth="1"/>
    <col min="15" max="16384" width="9.140625" style="36"/>
  </cols>
  <sheetData>
    <row r="1" spans="1:14" ht="15">
      <c r="A1" s="835" t="s">
        <v>3092</v>
      </c>
      <c r="B1" s="835"/>
      <c r="C1" s="835"/>
      <c r="D1" s="835"/>
      <c r="E1" s="835"/>
      <c r="F1" s="835"/>
      <c r="G1" s="835"/>
      <c r="H1" s="835"/>
      <c r="I1" s="835"/>
      <c r="J1" s="835"/>
      <c r="K1" s="835"/>
      <c r="L1" s="835"/>
      <c r="M1" s="835"/>
    </row>
    <row r="2" spans="1:14" ht="27.75" customHeight="1">
      <c r="A2" s="1135" t="s">
        <v>1</v>
      </c>
      <c r="B2" s="1136" t="s">
        <v>137</v>
      </c>
      <c r="C2" s="1137" t="s">
        <v>4</v>
      </c>
      <c r="D2" s="1137"/>
      <c r="E2" s="1137"/>
      <c r="F2" s="1137"/>
      <c r="G2" s="1137"/>
      <c r="H2" s="836" t="s">
        <v>138</v>
      </c>
      <c r="I2" s="837"/>
      <c r="J2" s="838"/>
      <c r="K2" s="1136" t="s">
        <v>6</v>
      </c>
      <c r="L2" s="1138" t="s">
        <v>273</v>
      </c>
      <c r="M2" s="1139" t="s">
        <v>146</v>
      </c>
    </row>
    <row r="3" spans="1:14" ht="75">
      <c r="A3" s="1140"/>
      <c r="B3" s="1141"/>
      <c r="C3" s="1142" t="s">
        <v>139</v>
      </c>
      <c r="D3" s="1143" t="s">
        <v>140</v>
      </c>
      <c r="E3" s="1143" t="s">
        <v>147</v>
      </c>
      <c r="F3" s="1144" t="s">
        <v>141</v>
      </c>
      <c r="G3" s="1145" t="s">
        <v>148</v>
      </c>
      <c r="H3" s="1146" t="s">
        <v>142</v>
      </c>
      <c r="I3" s="593" t="s">
        <v>143</v>
      </c>
      <c r="J3" s="64" t="s">
        <v>144</v>
      </c>
      <c r="K3" s="1147"/>
      <c r="L3" s="1148"/>
      <c r="M3" s="1149"/>
    </row>
    <row r="4" spans="1:14">
      <c r="A4" s="1135"/>
      <c r="B4" s="1150" t="s">
        <v>2899</v>
      </c>
      <c r="C4" s="742" t="s">
        <v>8</v>
      </c>
      <c r="D4" s="1151">
        <f>SUM(D5:D8)</f>
        <v>2883391.6520000007</v>
      </c>
      <c r="E4" s="1151">
        <f t="shared" ref="E4:F4" si="0">SUM(E5:E8)</f>
        <v>2748900.7485200004</v>
      </c>
      <c r="F4" s="1151">
        <f t="shared" si="0"/>
        <v>2404812.6309600002</v>
      </c>
      <c r="G4" s="1152">
        <f>F4/D4</f>
        <v>0.83402219372174269</v>
      </c>
      <c r="H4" s="1153"/>
      <c r="I4" s="1154" t="s">
        <v>268</v>
      </c>
      <c r="J4" s="1155">
        <f>SUM(J9,J14)</f>
        <v>59</v>
      </c>
      <c r="K4" s="1136" t="s">
        <v>2873</v>
      </c>
      <c r="L4" s="767"/>
      <c r="M4" s="1156">
        <v>823</v>
      </c>
    </row>
    <row r="5" spans="1:14">
      <c r="A5" s="1140"/>
      <c r="B5" s="1157"/>
      <c r="C5" s="742" t="s">
        <v>9</v>
      </c>
      <c r="D5" s="1151">
        <f>SUM(D10,D15)</f>
        <v>2558971.8380000005</v>
      </c>
      <c r="E5" s="1151">
        <f>E20+E95+E190+E370</f>
        <v>2434207.2865700005</v>
      </c>
      <c r="F5" s="1151">
        <f t="shared" ref="F5" si="1">SUM(F10,F15)</f>
        <v>2132496.5190100004</v>
      </c>
      <c r="G5" s="1152">
        <f t="shared" ref="G5:G25" si="2">F5/D5</f>
        <v>0.83334114402629855</v>
      </c>
      <c r="H5" s="1158"/>
      <c r="I5" s="1154" t="s">
        <v>269</v>
      </c>
      <c r="J5" s="1155">
        <f>SUM(J20+J95+J370+J190)</f>
        <v>48</v>
      </c>
      <c r="K5" s="1141"/>
      <c r="L5" s="767"/>
      <c r="M5" s="1159"/>
      <c r="N5" s="694">
        <f>SUM(D10,D15)</f>
        <v>2558971.8380000005</v>
      </c>
    </row>
    <row r="6" spans="1:14">
      <c r="A6" s="1140"/>
      <c r="B6" s="1157"/>
      <c r="C6" s="742" t="s">
        <v>10</v>
      </c>
      <c r="D6" s="1151">
        <f t="shared" ref="D6:F8" si="3">SUM(D11,D16)</f>
        <v>244045.79300000001</v>
      </c>
      <c r="E6" s="1151">
        <f>E21+E96+E191</f>
        <v>239057.86300000001</v>
      </c>
      <c r="F6" s="1151">
        <f t="shared" si="3"/>
        <v>206528.46299999999</v>
      </c>
      <c r="G6" s="1152">
        <f t="shared" si="2"/>
        <v>0.8462693024173541</v>
      </c>
      <c r="H6" s="1158"/>
      <c r="I6" s="1154" t="s">
        <v>270</v>
      </c>
      <c r="J6" s="1155">
        <f>SUM(J96+J191)</f>
        <v>6</v>
      </c>
      <c r="K6" s="1141"/>
      <c r="L6" s="767"/>
      <c r="M6" s="1159"/>
    </row>
    <row r="7" spans="1:14">
      <c r="A7" s="1140"/>
      <c r="B7" s="1157"/>
      <c r="C7" s="742" t="s">
        <v>11</v>
      </c>
      <c r="D7" s="1151">
        <f t="shared" si="3"/>
        <v>80374.020999999993</v>
      </c>
      <c r="E7" s="1151">
        <f>E97+E192</f>
        <v>75635.59895</v>
      </c>
      <c r="F7" s="1151">
        <f t="shared" si="3"/>
        <v>65787.648950000003</v>
      </c>
      <c r="G7" s="1152">
        <f t="shared" si="2"/>
        <v>0.81851882152318856</v>
      </c>
      <c r="H7" s="1158"/>
      <c r="I7" s="1154" t="s">
        <v>271</v>
      </c>
      <c r="J7" s="1155">
        <f>SUM(J192)</f>
        <v>5</v>
      </c>
      <c r="K7" s="1141"/>
      <c r="L7" s="767"/>
      <c r="M7" s="1159"/>
    </row>
    <row r="8" spans="1:14" ht="19.5" customHeight="1">
      <c r="A8" s="1160"/>
      <c r="B8" s="1161"/>
      <c r="C8" s="742" t="s">
        <v>12</v>
      </c>
      <c r="D8" s="1151">
        <f t="shared" si="3"/>
        <v>0</v>
      </c>
      <c r="E8" s="1162">
        <v>0</v>
      </c>
      <c r="F8" s="1162">
        <v>0</v>
      </c>
      <c r="G8" s="1152">
        <v>0</v>
      </c>
      <c r="H8" s="1163"/>
      <c r="I8" s="1154" t="s">
        <v>272</v>
      </c>
      <c r="J8" s="1164">
        <f>(J5+0.5*J6)/J4</f>
        <v>0.86440677966101698</v>
      </c>
      <c r="K8" s="1147"/>
      <c r="L8" s="767"/>
      <c r="M8" s="1165"/>
    </row>
    <row r="9" spans="1:14">
      <c r="A9" s="1135"/>
      <c r="B9" s="1150" t="s">
        <v>2810</v>
      </c>
      <c r="C9" s="742" t="s">
        <v>8</v>
      </c>
      <c r="D9" s="1166">
        <f>SUM(D10:D13)</f>
        <v>1725609.8590000002</v>
      </c>
      <c r="E9" s="1166">
        <f>SUM(E10:E13)</f>
        <v>1700308.6705600005</v>
      </c>
      <c r="F9" s="1166">
        <f>SUM(F10:F13)</f>
        <v>1694256.2730000005</v>
      </c>
      <c r="G9" s="1152">
        <f t="shared" si="2"/>
        <v>0.98183043181141227</v>
      </c>
      <c r="H9" s="1153"/>
      <c r="I9" s="1154" t="s">
        <v>268</v>
      </c>
      <c r="J9" s="1167">
        <f>SUM(J10:J12)</f>
        <v>37</v>
      </c>
      <c r="K9" s="1136" t="s">
        <v>2811</v>
      </c>
      <c r="L9" s="767"/>
      <c r="M9" s="1156">
        <v>823</v>
      </c>
    </row>
    <row r="10" spans="1:14">
      <c r="A10" s="1140"/>
      <c r="B10" s="1157"/>
      <c r="C10" s="742" t="s">
        <v>9</v>
      </c>
      <c r="D10" s="1151">
        <f>SUM(D20,D95,D235,D240,D245,D265,D315,D320,D325,D340,D355,D370)</f>
        <v>1637815.2660000003</v>
      </c>
      <c r="E10" s="1151">
        <f>SUM(E20,E95,E235,E240,E245,E265,E315,E345,E355,E370,E320,E325)</f>
        <v>1617502.0075600005</v>
      </c>
      <c r="F10" s="1151">
        <f t="shared" ref="F10:F12" si="4">SUM(F20,F95,F235,F240,F245,F265,F315,F345,F355,F370)</f>
        <v>1612424.0100000005</v>
      </c>
      <c r="G10" s="1152">
        <f t="shared" si="2"/>
        <v>0.98449687426469512</v>
      </c>
      <c r="H10" s="1158"/>
      <c r="I10" s="1154" t="s">
        <v>269</v>
      </c>
      <c r="J10" s="1167">
        <v>34</v>
      </c>
      <c r="K10" s="1141"/>
      <c r="L10" s="767"/>
      <c r="M10" s="1159"/>
    </row>
    <row r="11" spans="1:14">
      <c r="A11" s="1140"/>
      <c r="B11" s="1157"/>
      <c r="C11" s="742" t="s">
        <v>10</v>
      </c>
      <c r="D11" s="1151">
        <f>SUM(D21,D96,D236,D241,D246,D266,D316,D346,D356,D371)</f>
        <v>66437.892999999996</v>
      </c>
      <c r="E11" s="1151">
        <f>SUM(E21,E96,E236,E241,E246,E266,E316,E346,E356,E371)</f>
        <v>61449.963000000003</v>
      </c>
      <c r="F11" s="1151">
        <f t="shared" si="4"/>
        <v>61449.963000000003</v>
      </c>
      <c r="G11" s="1152">
        <f t="shared" si="2"/>
        <v>0.92492341682178281</v>
      </c>
      <c r="H11" s="1158"/>
      <c r="I11" s="1154" t="s">
        <v>270</v>
      </c>
      <c r="J11" s="1167">
        <v>2</v>
      </c>
      <c r="K11" s="1141"/>
      <c r="L11" s="767"/>
      <c r="M11" s="1159"/>
    </row>
    <row r="12" spans="1:14">
      <c r="A12" s="1140"/>
      <c r="B12" s="1157"/>
      <c r="C12" s="742" t="s">
        <v>11</v>
      </c>
      <c r="D12" s="1151">
        <f>SUM(D22,D97,D237,D242,D247,D267,D317,D322,D327,D342,D357,D372)</f>
        <v>21356.7</v>
      </c>
      <c r="E12" s="1151">
        <f>SUM(E22,E97,E237,E242,E247,E267,E317,E347,E357,E372,E322,E327,)</f>
        <v>21356.7</v>
      </c>
      <c r="F12" s="1151">
        <f t="shared" si="4"/>
        <v>20382.3</v>
      </c>
      <c r="G12" s="1152">
        <f t="shared" si="2"/>
        <v>0.95437497366166113</v>
      </c>
      <c r="H12" s="1158"/>
      <c r="I12" s="1154" t="s">
        <v>271</v>
      </c>
      <c r="J12" s="1167">
        <v>1</v>
      </c>
      <c r="K12" s="1141"/>
      <c r="L12" s="767"/>
      <c r="M12" s="1159"/>
    </row>
    <row r="13" spans="1:14" ht="18" customHeight="1">
      <c r="A13" s="1160"/>
      <c r="B13" s="1161"/>
      <c r="C13" s="742" t="s">
        <v>12</v>
      </c>
      <c r="D13" s="1151">
        <v>0</v>
      </c>
      <c r="E13" s="1151">
        <v>0</v>
      </c>
      <c r="F13" s="1151">
        <v>0</v>
      </c>
      <c r="G13" s="1152">
        <v>0</v>
      </c>
      <c r="H13" s="1163"/>
      <c r="I13" s="1154" t="s">
        <v>272</v>
      </c>
      <c r="J13" s="1168">
        <f>(J10+0.5*J11)/J9</f>
        <v>0.94594594594594594</v>
      </c>
      <c r="K13" s="1141"/>
      <c r="L13" s="767"/>
      <c r="M13" s="1165"/>
    </row>
    <row r="14" spans="1:14">
      <c r="A14" s="1169"/>
      <c r="B14" s="1170" t="s">
        <v>668</v>
      </c>
      <c r="C14" s="1171" t="s">
        <v>8</v>
      </c>
      <c r="D14" s="1166">
        <f>SUM(D15:D18)</f>
        <v>1157781.7930000001</v>
      </c>
      <c r="E14" s="1166">
        <f>SUM(E15:E18)</f>
        <v>1048592.0779599999</v>
      </c>
      <c r="F14" s="1166">
        <f>SUM(F15:F18)</f>
        <v>710556.35795999994</v>
      </c>
      <c r="G14" s="1172">
        <f t="shared" si="2"/>
        <v>0.61372217308654797</v>
      </c>
      <c r="H14" s="1153"/>
      <c r="I14" s="1154" t="s">
        <v>268</v>
      </c>
      <c r="J14" s="1155">
        <f>SUM(J15:J17)</f>
        <v>22</v>
      </c>
      <c r="K14" s="1136" t="str">
        <f>'[7]Пр ГП 19-20'!$K$11</f>
        <v>Министерство строительства МО</v>
      </c>
      <c r="L14" s="767"/>
      <c r="M14" s="1156">
        <v>823</v>
      </c>
    </row>
    <row r="15" spans="1:14">
      <c r="A15" s="1173"/>
      <c r="B15" s="1174"/>
      <c r="C15" s="1171" t="s">
        <v>9</v>
      </c>
      <c r="D15" s="1175">
        <f t="shared" ref="D15:F16" si="5">SUM(D200,D205,D210,D215,D220,D225,D250,D255,D260,D270,D275,D280,D285,D290,D295,D300,D305,D310,D330,D335,D360,D365)</f>
        <v>921156.57200000004</v>
      </c>
      <c r="E15" s="1175">
        <f t="shared" si="5"/>
        <v>816705.27900999994</v>
      </c>
      <c r="F15" s="1175">
        <f t="shared" si="5"/>
        <v>520072.50900999998</v>
      </c>
      <c r="G15" s="1172">
        <f t="shared" si="2"/>
        <v>0.56458643928558971</v>
      </c>
      <c r="H15" s="1158"/>
      <c r="I15" s="1154" t="s">
        <v>269</v>
      </c>
      <c r="J15" s="1155">
        <v>14</v>
      </c>
      <c r="K15" s="1141"/>
      <c r="L15" s="767"/>
      <c r="M15" s="1159"/>
    </row>
    <row r="16" spans="1:14">
      <c r="A16" s="1173"/>
      <c r="B16" s="1174"/>
      <c r="C16" s="1171" t="s">
        <v>10</v>
      </c>
      <c r="D16" s="1175">
        <f t="shared" si="5"/>
        <v>177607.9</v>
      </c>
      <c r="E16" s="1175">
        <f t="shared" si="5"/>
        <v>177607.9</v>
      </c>
      <c r="F16" s="1175">
        <f t="shared" si="5"/>
        <v>145078.5</v>
      </c>
      <c r="G16" s="1172">
        <f t="shared" si="2"/>
        <v>0.81684711096747387</v>
      </c>
      <c r="H16" s="1158"/>
      <c r="I16" s="1154" t="s">
        <v>270</v>
      </c>
      <c r="J16" s="1155">
        <v>4</v>
      </c>
      <c r="K16" s="1141"/>
      <c r="L16" s="767"/>
      <c r="M16" s="1159"/>
    </row>
    <row r="17" spans="1:137">
      <c r="A17" s="1173"/>
      <c r="B17" s="1174"/>
      <c r="C17" s="1171" t="s">
        <v>11</v>
      </c>
      <c r="D17" s="1175">
        <f>SUM(D202,D207,D212,D217,D222,D227,D252,D257,D262,D272,D277,D282,D287,D292,D297,D302,D307,D312,D332,D337,D362,D367)</f>
        <v>59017.320999999996</v>
      </c>
      <c r="E17" s="1175">
        <f>SUM(E202,E207,E212,E217,E222,E227,E252,E257,E262,E272,E277,E282,E287,E292,E297,E302,E307,E312,E332,E337,E362,E367)</f>
        <v>54278.898949999995</v>
      </c>
      <c r="F17" s="1175">
        <f>SUM(F202,F207,F212,F217,F222,F227,F252,F257,F262,F272,F282,F277,F287,F292,F297,F302,F307,F312,F332,F337,F362,F367)</f>
        <v>45405.34895</v>
      </c>
      <c r="G17" s="1172">
        <f t="shared" si="2"/>
        <v>0.76935632083333638</v>
      </c>
      <c r="H17" s="1158"/>
      <c r="I17" s="1154" t="s">
        <v>271</v>
      </c>
      <c r="J17" s="1155">
        <v>4</v>
      </c>
      <c r="K17" s="1141"/>
      <c r="L17" s="767"/>
      <c r="M17" s="1159"/>
    </row>
    <row r="18" spans="1:137" ht="17.25" customHeight="1">
      <c r="A18" s="1176"/>
      <c r="B18" s="1177"/>
      <c r="C18" s="1171" t="s">
        <v>12</v>
      </c>
      <c r="D18" s="1175">
        <v>0</v>
      </c>
      <c r="E18" s="1175">
        <v>0</v>
      </c>
      <c r="F18" s="1175">
        <v>0</v>
      </c>
      <c r="G18" s="1172">
        <v>0</v>
      </c>
      <c r="H18" s="1163"/>
      <c r="I18" s="1154" t="s">
        <v>272</v>
      </c>
      <c r="J18" s="1168">
        <f>(J15+0.5*J16)/J14</f>
        <v>0.72727272727272729</v>
      </c>
      <c r="K18" s="1141"/>
      <c r="L18" s="767"/>
      <c r="M18" s="1165"/>
    </row>
    <row r="19" spans="1:137">
      <c r="A19" s="1178" t="s">
        <v>16</v>
      </c>
      <c r="B19" s="1179" t="s">
        <v>2900</v>
      </c>
      <c r="C19" s="1180" t="s">
        <v>8</v>
      </c>
      <c r="D19" s="1181">
        <f>SUM(D20:D23)</f>
        <v>284204.40000000002</v>
      </c>
      <c r="E19" s="1181">
        <f>SUM(E20:E23)</f>
        <v>283988.93200000003</v>
      </c>
      <c r="F19" s="1181">
        <f>SUM(F20:F23)</f>
        <v>283988.93200000003</v>
      </c>
      <c r="G19" s="1182">
        <f t="shared" si="2"/>
        <v>0.99924185550962619</v>
      </c>
      <c r="H19" s="1183"/>
      <c r="I19" s="1154" t="s">
        <v>268</v>
      </c>
      <c r="J19" s="1184">
        <f>SUM(J24,J74)</f>
        <v>12</v>
      </c>
      <c r="K19" s="1185" t="s">
        <v>2949</v>
      </c>
      <c r="L19" s="1186"/>
      <c r="M19" s="1156">
        <v>823</v>
      </c>
    </row>
    <row r="20" spans="1:137">
      <c r="A20" s="1187"/>
      <c r="B20" s="1188"/>
      <c r="C20" s="1180" t="s">
        <v>9</v>
      </c>
      <c r="D20" s="1189">
        <v>281836.90000000002</v>
      </c>
      <c r="E20" s="1189">
        <f>SUM(E25,E75)</f>
        <v>281621.45500000002</v>
      </c>
      <c r="F20" s="1189">
        <f>E20</f>
        <v>281621.45500000002</v>
      </c>
      <c r="G20" s="1182">
        <f t="shared" si="2"/>
        <v>0.99923556851498152</v>
      </c>
      <c r="H20" s="1190"/>
      <c r="I20" s="1154" t="s">
        <v>269</v>
      </c>
      <c r="J20" s="1191">
        <f>J25+J75</f>
        <v>12</v>
      </c>
      <c r="K20" s="1192"/>
      <c r="L20" s="1193"/>
      <c r="M20" s="1159"/>
    </row>
    <row r="21" spans="1:137">
      <c r="A21" s="1187"/>
      <c r="B21" s="1188"/>
      <c r="C21" s="1180" t="s">
        <v>10</v>
      </c>
      <c r="D21" s="1189">
        <v>2367.5</v>
      </c>
      <c r="E21" s="1189">
        <f>SUM(E81)</f>
        <v>2367.4769999999999</v>
      </c>
      <c r="F21" s="1189">
        <f>E21</f>
        <v>2367.4769999999999</v>
      </c>
      <c r="G21" s="1182">
        <f t="shared" si="2"/>
        <v>0.9999902851108764</v>
      </c>
      <c r="H21" s="1190"/>
      <c r="I21" s="1154" t="s">
        <v>270</v>
      </c>
      <c r="J21" s="1191">
        <v>0</v>
      </c>
      <c r="K21" s="1192"/>
      <c r="L21" s="1193"/>
      <c r="M21" s="1159"/>
    </row>
    <row r="22" spans="1:137">
      <c r="A22" s="1187"/>
      <c r="B22" s="1188"/>
      <c r="C22" s="1180" t="s">
        <v>11</v>
      </c>
      <c r="D22" s="1189">
        <v>0</v>
      </c>
      <c r="E22" s="1189">
        <v>0</v>
      </c>
      <c r="F22" s="1189">
        <f>E22</f>
        <v>0</v>
      </c>
      <c r="G22" s="1182">
        <v>0</v>
      </c>
      <c r="H22" s="1190"/>
      <c r="I22" s="1154" t="s">
        <v>271</v>
      </c>
      <c r="J22" s="1191">
        <v>0</v>
      </c>
      <c r="K22" s="1192"/>
      <c r="L22" s="1193"/>
      <c r="M22" s="1159"/>
    </row>
    <row r="23" spans="1:137">
      <c r="A23" s="1194"/>
      <c r="B23" s="1195"/>
      <c r="C23" s="1180" t="s">
        <v>12</v>
      </c>
      <c r="D23" s="1189">
        <v>0</v>
      </c>
      <c r="E23" s="1189">
        <v>0</v>
      </c>
      <c r="F23" s="1189">
        <f>E23</f>
        <v>0</v>
      </c>
      <c r="G23" s="1182">
        <v>0</v>
      </c>
      <c r="H23" s="1190"/>
      <c r="I23" s="1196" t="s">
        <v>272</v>
      </c>
      <c r="J23" s="1197">
        <f>(J20+0.5*J21)/J19</f>
        <v>1</v>
      </c>
      <c r="K23" s="1192"/>
      <c r="L23" s="1193"/>
      <c r="M23" s="1159"/>
    </row>
    <row r="24" spans="1:137" s="364" customFormat="1">
      <c r="A24" s="1135" t="s">
        <v>2954</v>
      </c>
      <c r="B24" s="1198" t="s">
        <v>2901</v>
      </c>
      <c r="C24" s="1171" t="s">
        <v>8</v>
      </c>
      <c r="D24" s="1166">
        <f>SUM(D25:D28)</f>
        <v>274226.7</v>
      </c>
      <c r="E24" s="1166">
        <f>SUM(E25:E28)</f>
        <v>274011.61900000001</v>
      </c>
      <c r="F24" s="1166">
        <f>SUM(F25:F28)</f>
        <v>274011.61900000001</v>
      </c>
      <c r="G24" s="1152">
        <f>F24/D24</f>
        <v>0.99921568176986408</v>
      </c>
      <c r="H24" s="1153"/>
      <c r="I24" s="1154" t="s">
        <v>268</v>
      </c>
      <c r="J24" s="1155">
        <v>9</v>
      </c>
      <c r="K24" s="1136" t="s">
        <v>2812</v>
      </c>
      <c r="L24" s="1199"/>
      <c r="M24" s="1156">
        <v>823</v>
      </c>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row>
    <row r="25" spans="1:137" s="364" customFormat="1">
      <c r="A25" s="1140"/>
      <c r="B25" s="1200"/>
      <c r="C25" s="1171" t="s">
        <v>9</v>
      </c>
      <c r="D25" s="1201">
        <v>274226.7</v>
      </c>
      <c r="E25" s="1201">
        <f>SUM(E30,E35,E40,E45,E50,E55,E60,E65,E70)</f>
        <v>274011.61900000001</v>
      </c>
      <c r="F25" s="1201">
        <f>E25</f>
        <v>274011.61900000001</v>
      </c>
      <c r="G25" s="1152">
        <f t="shared" si="2"/>
        <v>0.99921568176986408</v>
      </c>
      <c r="H25" s="1158"/>
      <c r="I25" s="1154" t="s">
        <v>269</v>
      </c>
      <c r="J25" s="1191">
        <v>9</v>
      </c>
      <c r="K25" s="1141"/>
      <c r="L25" s="1202"/>
      <c r="M25" s="1159"/>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row>
    <row r="26" spans="1:137" s="364" customFormat="1">
      <c r="A26" s="1140"/>
      <c r="B26" s="1200"/>
      <c r="C26" s="1171" t="s">
        <v>10</v>
      </c>
      <c r="D26" s="1201">
        <v>0</v>
      </c>
      <c r="E26" s="1166">
        <f>SUM(E31,E36,E41,E46,E51,E56,E61,E66,E71)</f>
        <v>0</v>
      </c>
      <c r="F26" s="1166">
        <f>SUM(F31,F36,F41,F46,F51,F56,F61,F66,F71)</f>
        <v>0</v>
      </c>
      <c r="G26" s="1152">
        <v>0</v>
      </c>
      <c r="H26" s="1158"/>
      <c r="I26" s="1154" t="s">
        <v>270</v>
      </c>
      <c r="J26" s="1191">
        <v>0</v>
      </c>
      <c r="K26" s="1141"/>
      <c r="L26" s="1202"/>
      <c r="M26" s="1159"/>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row>
    <row r="27" spans="1:137" s="364" customFormat="1">
      <c r="A27" s="1140"/>
      <c r="B27" s="1200"/>
      <c r="C27" s="1171" t="s">
        <v>11</v>
      </c>
      <c r="D27" s="1201">
        <v>0</v>
      </c>
      <c r="E27" s="1166">
        <v>0</v>
      </c>
      <c r="F27" s="1166">
        <v>0</v>
      </c>
      <c r="G27" s="1152">
        <v>0</v>
      </c>
      <c r="H27" s="1158"/>
      <c r="I27" s="1154" t="s">
        <v>271</v>
      </c>
      <c r="J27" s="1191">
        <v>0</v>
      </c>
      <c r="K27" s="1141"/>
      <c r="L27" s="1202"/>
      <c r="M27" s="1159"/>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row>
    <row r="28" spans="1:137" s="364" customFormat="1">
      <c r="A28" s="1160"/>
      <c r="B28" s="1203"/>
      <c r="C28" s="1171" t="s">
        <v>12</v>
      </c>
      <c r="D28" s="1201">
        <v>0</v>
      </c>
      <c r="E28" s="1166">
        <v>0</v>
      </c>
      <c r="F28" s="1166">
        <v>0</v>
      </c>
      <c r="G28" s="1152">
        <v>0</v>
      </c>
      <c r="H28" s="1163"/>
      <c r="I28" s="1196" t="s">
        <v>272</v>
      </c>
      <c r="J28" s="1197">
        <f>(J25+0.5*J26)/J24</f>
        <v>1</v>
      </c>
      <c r="K28" s="1141"/>
      <c r="L28" s="1202"/>
      <c r="M28" s="1159"/>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row>
    <row r="29" spans="1:137" s="364" customFormat="1" ht="15">
      <c r="A29" s="1135" t="s">
        <v>33</v>
      </c>
      <c r="B29" s="1204" t="s">
        <v>2819</v>
      </c>
      <c r="C29" s="1205" t="s">
        <v>8</v>
      </c>
      <c r="D29" s="1206">
        <v>45000</v>
      </c>
      <c r="E29" s="1206">
        <v>45000</v>
      </c>
      <c r="F29" s="1206">
        <v>45000</v>
      </c>
      <c r="G29" s="1152">
        <f t="shared" ref="G29:G30" si="6">F29/D29</f>
        <v>1</v>
      </c>
      <c r="H29" s="1207" t="s">
        <v>2878</v>
      </c>
      <c r="I29" s="1208" t="s">
        <v>2856</v>
      </c>
      <c r="J29" s="1209" t="s">
        <v>2955</v>
      </c>
      <c r="K29" s="1136" t="s">
        <v>2843</v>
      </c>
      <c r="L29" s="1207"/>
      <c r="M29" s="1210"/>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row>
    <row r="30" spans="1:137" s="364" customFormat="1" ht="30" customHeight="1">
      <c r="A30" s="1211"/>
      <c r="B30" s="1212"/>
      <c r="C30" s="742" t="s">
        <v>9</v>
      </c>
      <c r="D30" s="1213">
        <v>45000</v>
      </c>
      <c r="E30" s="1213">
        <v>45000</v>
      </c>
      <c r="F30" s="1213">
        <v>45000</v>
      </c>
      <c r="G30" s="1152">
        <f t="shared" si="6"/>
        <v>1</v>
      </c>
      <c r="H30" s="1214"/>
      <c r="I30" s="1214"/>
      <c r="J30" s="1215"/>
      <c r="K30" s="1215"/>
      <c r="L30" s="1214"/>
      <c r="M30" s="1216">
        <v>823</v>
      </c>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row>
    <row r="31" spans="1:137" s="364" customFormat="1" ht="27" customHeight="1">
      <c r="A31" s="1211"/>
      <c r="B31" s="1212"/>
      <c r="C31" s="742" t="s">
        <v>10</v>
      </c>
      <c r="D31" s="1213">
        <v>0</v>
      </c>
      <c r="E31" s="1213">
        <v>0</v>
      </c>
      <c r="F31" s="1213">
        <v>0</v>
      </c>
      <c r="G31" s="1152">
        <v>0</v>
      </c>
      <c r="H31" s="1214"/>
      <c r="I31" s="1214"/>
      <c r="J31" s="1215"/>
      <c r="K31" s="1215"/>
      <c r="L31" s="1214"/>
      <c r="M31" s="121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row>
    <row r="32" spans="1:137" s="364" customFormat="1" ht="22.5" customHeight="1">
      <c r="A32" s="1211"/>
      <c r="B32" s="1212"/>
      <c r="C32" s="742" t="s">
        <v>11</v>
      </c>
      <c r="D32" s="1213">
        <v>0</v>
      </c>
      <c r="E32" s="1213">
        <v>0</v>
      </c>
      <c r="F32" s="1213">
        <v>0</v>
      </c>
      <c r="G32" s="1152">
        <v>0</v>
      </c>
      <c r="H32" s="1214"/>
      <c r="I32" s="1214"/>
      <c r="J32" s="1215"/>
      <c r="K32" s="1215"/>
      <c r="L32" s="1214"/>
      <c r="M32" s="121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row>
    <row r="33" spans="1:137" s="364" customFormat="1" ht="25.5" customHeight="1">
      <c r="A33" s="1217"/>
      <c r="B33" s="1218"/>
      <c r="C33" s="1146" t="s">
        <v>12</v>
      </c>
      <c r="D33" s="1219">
        <v>0</v>
      </c>
      <c r="E33" s="1219">
        <v>0</v>
      </c>
      <c r="F33" s="1219">
        <v>0</v>
      </c>
      <c r="G33" s="1220">
        <v>0</v>
      </c>
      <c r="H33" s="1221"/>
      <c r="I33" s="1221"/>
      <c r="J33" s="1149"/>
      <c r="K33" s="1149"/>
      <c r="L33" s="1221"/>
      <c r="M33" s="1222"/>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row>
    <row r="34" spans="1:137" s="364" customFormat="1" ht="35.25" customHeight="1">
      <c r="A34" s="1135" t="s">
        <v>194</v>
      </c>
      <c r="B34" s="1204" t="s">
        <v>3017</v>
      </c>
      <c r="C34" s="742" t="s">
        <v>8</v>
      </c>
      <c r="D34" s="1223">
        <v>40000</v>
      </c>
      <c r="E34" s="1223">
        <v>40000</v>
      </c>
      <c r="F34" s="1223">
        <v>40000</v>
      </c>
      <c r="G34" s="1220">
        <f t="shared" ref="G34:G35" si="7">F34/D34</f>
        <v>1</v>
      </c>
      <c r="H34" s="1224" t="s">
        <v>2823</v>
      </c>
      <c r="I34" s="1208" t="s">
        <v>3020</v>
      </c>
      <c r="J34" s="1209" t="s">
        <v>2955</v>
      </c>
      <c r="K34" s="1136" t="s">
        <v>2843</v>
      </c>
      <c r="L34" s="1207"/>
      <c r="M34" s="121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row>
    <row r="35" spans="1:137" s="364" customFormat="1" ht="31.5" customHeight="1">
      <c r="A35" s="1140"/>
      <c r="B35" s="1225"/>
      <c r="C35" s="742" t="s">
        <v>9</v>
      </c>
      <c r="D35" s="1219">
        <v>40000</v>
      </c>
      <c r="E35" s="1219">
        <v>40000</v>
      </c>
      <c r="F35" s="1219">
        <v>40000</v>
      </c>
      <c r="G35" s="1220">
        <f t="shared" si="7"/>
        <v>1</v>
      </c>
      <c r="H35" s="1226"/>
      <c r="I35" s="1214"/>
      <c r="J35" s="1215"/>
      <c r="K35" s="1215"/>
      <c r="L35" s="1214"/>
      <c r="M35" s="121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row>
    <row r="36" spans="1:137" s="364" customFormat="1" ht="30.75" customHeight="1">
      <c r="A36" s="1140"/>
      <c r="B36" s="1225"/>
      <c r="C36" s="742" t="s">
        <v>10</v>
      </c>
      <c r="D36" s="1219">
        <v>0</v>
      </c>
      <c r="E36" s="1219">
        <v>0</v>
      </c>
      <c r="F36" s="1219">
        <v>0</v>
      </c>
      <c r="G36" s="1220">
        <v>0</v>
      </c>
      <c r="H36" s="1226"/>
      <c r="I36" s="1214"/>
      <c r="J36" s="1215"/>
      <c r="K36" s="1215"/>
      <c r="L36" s="1214"/>
      <c r="M36" s="1216">
        <v>823</v>
      </c>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row>
    <row r="37" spans="1:137" s="364" customFormat="1" ht="30.75" customHeight="1">
      <c r="A37" s="1140"/>
      <c r="B37" s="1225"/>
      <c r="C37" s="742" t="s">
        <v>11</v>
      </c>
      <c r="D37" s="1219">
        <v>0</v>
      </c>
      <c r="E37" s="1219">
        <v>0</v>
      </c>
      <c r="F37" s="1219">
        <v>0</v>
      </c>
      <c r="G37" s="1220">
        <v>0</v>
      </c>
      <c r="H37" s="1226"/>
      <c r="I37" s="1214"/>
      <c r="J37" s="1215"/>
      <c r="K37" s="1215"/>
      <c r="L37" s="1214"/>
      <c r="M37" s="121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row>
    <row r="38" spans="1:137" s="364" customFormat="1" ht="15">
      <c r="A38" s="1160"/>
      <c r="B38" s="1227"/>
      <c r="C38" s="742" t="s">
        <v>12</v>
      </c>
      <c r="D38" s="1219">
        <v>0</v>
      </c>
      <c r="E38" s="1219">
        <v>0</v>
      </c>
      <c r="F38" s="1219">
        <v>0</v>
      </c>
      <c r="G38" s="1220">
        <v>0</v>
      </c>
      <c r="H38" s="1228"/>
      <c r="I38" s="1221"/>
      <c r="J38" s="1149"/>
      <c r="K38" s="1149"/>
      <c r="L38" s="1221"/>
      <c r="M38" s="121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row>
    <row r="39" spans="1:137" s="365" customFormat="1" ht="21.75" customHeight="1">
      <c r="A39" s="1169" t="s">
        <v>2820</v>
      </c>
      <c r="B39" s="1198" t="s">
        <v>2821</v>
      </c>
      <c r="C39" s="1171" t="s">
        <v>8</v>
      </c>
      <c r="D39" s="1229">
        <v>2900</v>
      </c>
      <c r="E39" s="1229">
        <f>SUM(E40:E43)</f>
        <v>2858.241</v>
      </c>
      <c r="F39" s="1229">
        <f>SUM(F40:F43)</f>
        <v>2858.241</v>
      </c>
      <c r="G39" s="1152">
        <f t="shared" ref="G39:G45" si="8">F39/D39</f>
        <v>0.98560034482758618</v>
      </c>
      <c r="H39" s="1230" t="s">
        <v>2824</v>
      </c>
      <c r="I39" s="1207" t="s">
        <v>3186</v>
      </c>
      <c r="J39" s="1209" t="s">
        <v>2955</v>
      </c>
      <c r="K39" s="1231" t="s">
        <v>2843</v>
      </c>
      <c r="L39" s="1207"/>
      <c r="M39" s="1156">
        <v>823</v>
      </c>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c r="BJ39" s="715"/>
      <c r="BK39" s="715"/>
      <c r="BL39" s="715"/>
      <c r="BM39" s="715"/>
      <c r="BN39" s="715"/>
      <c r="BO39" s="715"/>
      <c r="BP39" s="715"/>
      <c r="BQ39" s="715"/>
      <c r="BR39" s="715"/>
      <c r="BS39" s="715"/>
      <c r="BT39" s="715"/>
      <c r="BU39" s="715"/>
      <c r="BV39" s="715"/>
      <c r="BW39" s="715"/>
      <c r="BX39" s="715"/>
      <c r="BY39" s="715"/>
      <c r="BZ39" s="715"/>
      <c r="CA39" s="715"/>
      <c r="CB39" s="715"/>
      <c r="CC39" s="715"/>
      <c r="CD39" s="715"/>
      <c r="CE39" s="715"/>
      <c r="CF39" s="715"/>
      <c r="CG39" s="715"/>
      <c r="CH39" s="715"/>
      <c r="CI39" s="715"/>
      <c r="CJ39" s="715"/>
      <c r="CK39" s="715"/>
      <c r="CL39" s="715"/>
      <c r="CM39" s="715"/>
      <c r="CN39" s="715"/>
      <c r="CO39" s="715"/>
      <c r="CP39" s="715"/>
      <c r="CQ39" s="715"/>
      <c r="CR39" s="715"/>
      <c r="CS39" s="715"/>
      <c r="CT39" s="715"/>
      <c r="CU39" s="715"/>
      <c r="CV39" s="715"/>
      <c r="CW39" s="715"/>
      <c r="CX39" s="715"/>
      <c r="CY39" s="715"/>
      <c r="CZ39" s="715"/>
      <c r="DA39" s="715"/>
      <c r="DB39" s="715"/>
      <c r="DC39" s="715"/>
      <c r="DD39" s="715"/>
      <c r="DE39" s="715"/>
      <c r="DF39" s="715"/>
      <c r="DG39" s="715"/>
      <c r="DH39" s="715"/>
      <c r="DI39" s="715"/>
      <c r="DJ39" s="715"/>
      <c r="DK39" s="715"/>
      <c r="DL39" s="715"/>
      <c r="DM39" s="715"/>
      <c r="DN39" s="715"/>
      <c r="DO39" s="715"/>
      <c r="DP39" s="715"/>
      <c r="DQ39" s="715"/>
      <c r="DR39" s="715"/>
      <c r="DS39" s="715"/>
      <c r="DT39" s="715"/>
      <c r="DU39" s="715"/>
      <c r="DV39" s="715"/>
      <c r="DW39" s="715"/>
      <c r="DX39" s="715"/>
      <c r="DY39" s="715"/>
      <c r="DZ39" s="715"/>
      <c r="EA39" s="715"/>
      <c r="EB39" s="715"/>
      <c r="EC39" s="715"/>
      <c r="ED39" s="715"/>
      <c r="EE39" s="715"/>
      <c r="EF39" s="715"/>
      <c r="EG39" s="715"/>
    </row>
    <row r="40" spans="1:137" s="365" customFormat="1" ht="21.75" customHeight="1">
      <c r="A40" s="1173"/>
      <c r="B40" s="1200"/>
      <c r="C40" s="1171" t="s">
        <v>9</v>
      </c>
      <c r="D40" s="1213">
        <v>2900</v>
      </c>
      <c r="E40" s="1232">
        <v>2858.241</v>
      </c>
      <c r="F40" s="1232">
        <v>2858.241</v>
      </c>
      <c r="G40" s="1152">
        <f t="shared" si="8"/>
        <v>0.98560034482758618</v>
      </c>
      <c r="H40" s="1233"/>
      <c r="I40" s="1234"/>
      <c r="J40" s="1215"/>
      <c r="K40" s="1235"/>
      <c r="L40" s="1234"/>
      <c r="M40" s="1159"/>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715"/>
      <c r="BK40" s="715"/>
      <c r="BL40" s="715"/>
      <c r="BM40" s="715"/>
      <c r="BN40" s="715"/>
      <c r="BO40" s="715"/>
      <c r="BP40" s="715"/>
      <c r="BQ40" s="715"/>
      <c r="BR40" s="715"/>
      <c r="BS40" s="715"/>
      <c r="BT40" s="715"/>
      <c r="BU40" s="715"/>
      <c r="BV40" s="715"/>
      <c r="BW40" s="715"/>
      <c r="BX40" s="715"/>
      <c r="BY40" s="715"/>
      <c r="BZ40" s="715"/>
      <c r="CA40" s="715"/>
      <c r="CB40" s="715"/>
      <c r="CC40" s="715"/>
      <c r="CD40" s="715"/>
      <c r="CE40" s="715"/>
      <c r="CF40" s="715"/>
      <c r="CG40" s="715"/>
      <c r="CH40" s="715"/>
      <c r="CI40" s="715"/>
      <c r="CJ40" s="715"/>
      <c r="CK40" s="715"/>
      <c r="CL40" s="715"/>
      <c r="CM40" s="715"/>
      <c r="CN40" s="715"/>
      <c r="CO40" s="715"/>
      <c r="CP40" s="715"/>
      <c r="CQ40" s="715"/>
      <c r="CR40" s="715"/>
      <c r="CS40" s="715"/>
      <c r="CT40" s="715"/>
      <c r="CU40" s="715"/>
      <c r="CV40" s="715"/>
      <c r="CW40" s="715"/>
      <c r="CX40" s="715"/>
      <c r="CY40" s="715"/>
      <c r="CZ40" s="715"/>
      <c r="DA40" s="715"/>
      <c r="DB40" s="715"/>
      <c r="DC40" s="715"/>
      <c r="DD40" s="715"/>
      <c r="DE40" s="715"/>
      <c r="DF40" s="715"/>
      <c r="DG40" s="715"/>
      <c r="DH40" s="715"/>
      <c r="DI40" s="715"/>
      <c r="DJ40" s="715"/>
      <c r="DK40" s="715"/>
      <c r="DL40" s="715"/>
      <c r="DM40" s="715"/>
      <c r="DN40" s="715"/>
      <c r="DO40" s="715"/>
      <c r="DP40" s="715"/>
      <c r="DQ40" s="715"/>
      <c r="DR40" s="715"/>
      <c r="DS40" s="715"/>
      <c r="DT40" s="715"/>
      <c r="DU40" s="715"/>
      <c r="DV40" s="715"/>
      <c r="DW40" s="715"/>
      <c r="DX40" s="715"/>
      <c r="DY40" s="715"/>
      <c r="DZ40" s="715"/>
      <c r="EA40" s="715"/>
      <c r="EB40" s="715"/>
      <c r="EC40" s="715"/>
      <c r="ED40" s="715"/>
      <c r="EE40" s="715"/>
      <c r="EF40" s="715"/>
      <c r="EG40" s="715"/>
    </row>
    <row r="41" spans="1:137" s="365" customFormat="1" ht="23.25" customHeight="1">
      <c r="A41" s="1173"/>
      <c r="B41" s="1200"/>
      <c r="C41" s="1171" t="s">
        <v>10</v>
      </c>
      <c r="D41" s="1162">
        <v>0</v>
      </c>
      <c r="E41" s="1232">
        <v>0</v>
      </c>
      <c r="F41" s="1232">
        <v>0</v>
      </c>
      <c r="G41" s="1152">
        <v>0</v>
      </c>
      <c r="H41" s="1233"/>
      <c r="I41" s="1234"/>
      <c r="J41" s="1215"/>
      <c r="K41" s="1235"/>
      <c r="L41" s="1234"/>
      <c r="M41" s="1159"/>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15"/>
      <c r="BM41" s="715"/>
      <c r="BN41" s="715"/>
      <c r="BO41" s="715"/>
      <c r="BP41" s="715"/>
      <c r="BQ41" s="715"/>
      <c r="BR41" s="715"/>
      <c r="BS41" s="715"/>
      <c r="BT41" s="715"/>
      <c r="BU41" s="715"/>
      <c r="BV41" s="715"/>
      <c r="BW41" s="715"/>
      <c r="BX41" s="715"/>
      <c r="BY41" s="715"/>
      <c r="BZ41" s="715"/>
      <c r="CA41" s="715"/>
      <c r="CB41" s="715"/>
      <c r="CC41" s="715"/>
      <c r="CD41" s="715"/>
      <c r="CE41" s="715"/>
      <c r="CF41" s="715"/>
      <c r="CG41" s="715"/>
      <c r="CH41" s="715"/>
      <c r="CI41" s="715"/>
      <c r="CJ41" s="715"/>
      <c r="CK41" s="715"/>
      <c r="CL41" s="715"/>
      <c r="CM41" s="715"/>
      <c r="CN41" s="715"/>
      <c r="CO41" s="715"/>
      <c r="CP41" s="715"/>
      <c r="CQ41" s="715"/>
      <c r="CR41" s="715"/>
      <c r="CS41" s="715"/>
      <c r="CT41" s="715"/>
      <c r="CU41" s="715"/>
      <c r="CV41" s="715"/>
      <c r="CW41" s="715"/>
      <c r="CX41" s="715"/>
      <c r="CY41" s="715"/>
      <c r="CZ41" s="715"/>
      <c r="DA41" s="715"/>
      <c r="DB41" s="715"/>
      <c r="DC41" s="715"/>
      <c r="DD41" s="715"/>
      <c r="DE41" s="715"/>
      <c r="DF41" s="715"/>
      <c r="DG41" s="715"/>
      <c r="DH41" s="715"/>
      <c r="DI41" s="715"/>
      <c r="DJ41" s="715"/>
      <c r="DK41" s="715"/>
      <c r="DL41" s="715"/>
      <c r="DM41" s="715"/>
      <c r="DN41" s="715"/>
      <c r="DO41" s="715"/>
      <c r="DP41" s="715"/>
      <c r="DQ41" s="715"/>
      <c r="DR41" s="715"/>
      <c r="DS41" s="715"/>
      <c r="DT41" s="715"/>
      <c r="DU41" s="715"/>
      <c r="DV41" s="715"/>
      <c r="DW41" s="715"/>
      <c r="DX41" s="715"/>
      <c r="DY41" s="715"/>
      <c r="DZ41" s="715"/>
      <c r="EA41" s="715"/>
      <c r="EB41" s="715"/>
      <c r="EC41" s="715"/>
      <c r="ED41" s="715"/>
      <c r="EE41" s="715"/>
      <c r="EF41" s="715"/>
      <c r="EG41" s="715"/>
    </row>
    <row r="42" spans="1:137" s="365" customFormat="1" ht="22.5" customHeight="1">
      <c r="A42" s="1173"/>
      <c r="B42" s="1200"/>
      <c r="C42" s="1171" t="s">
        <v>11</v>
      </c>
      <c r="D42" s="1162">
        <v>0</v>
      </c>
      <c r="E42" s="1232">
        <v>0</v>
      </c>
      <c r="F42" s="1232">
        <v>0</v>
      </c>
      <c r="G42" s="1152">
        <v>0</v>
      </c>
      <c r="H42" s="1233"/>
      <c r="I42" s="1234"/>
      <c r="J42" s="1215"/>
      <c r="K42" s="1235"/>
      <c r="L42" s="1234"/>
      <c r="M42" s="1159"/>
      <c r="N42" s="715"/>
      <c r="O42" s="715"/>
      <c r="P42" s="715"/>
      <c r="Q42" s="715"/>
      <c r="R42" s="715"/>
      <c r="S42" s="715"/>
      <c r="T42" s="715"/>
      <c r="U42" s="715"/>
      <c r="V42" s="715"/>
      <c r="W42" s="715"/>
      <c r="X42" s="715"/>
      <c r="Y42" s="715"/>
      <c r="Z42" s="715"/>
      <c r="AA42" s="715"/>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15"/>
      <c r="BM42" s="715"/>
      <c r="BN42" s="715"/>
      <c r="BO42" s="715"/>
      <c r="BP42" s="715"/>
      <c r="BQ42" s="715"/>
      <c r="BR42" s="715"/>
      <c r="BS42" s="715"/>
      <c r="BT42" s="715"/>
      <c r="BU42" s="715"/>
      <c r="BV42" s="715"/>
      <c r="BW42" s="715"/>
      <c r="BX42" s="715"/>
      <c r="BY42" s="715"/>
      <c r="BZ42" s="715"/>
      <c r="CA42" s="715"/>
      <c r="CB42" s="715"/>
      <c r="CC42" s="715"/>
      <c r="CD42" s="715"/>
      <c r="CE42" s="715"/>
      <c r="CF42" s="715"/>
      <c r="CG42" s="715"/>
      <c r="CH42" s="715"/>
      <c r="CI42" s="715"/>
      <c r="CJ42" s="715"/>
      <c r="CK42" s="715"/>
      <c r="CL42" s="715"/>
      <c r="CM42" s="715"/>
      <c r="CN42" s="715"/>
      <c r="CO42" s="715"/>
      <c r="CP42" s="715"/>
      <c r="CQ42" s="715"/>
      <c r="CR42" s="715"/>
      <c r="CS42" s="715"/>
      <c r="CT42" s="715"/>
      <c r="CU42" s="715"/>
      <c r="CV42" s="715"/>
      <c r="CW42" s="715"/>
      <c r="CX42" s="715"/>
      <c r="CY42" s="715"/>
      <c r="CZ42" s="715"/>
      <c r="DA42" s="715"/>
      <c r="DB42" s="715"/>
      <c r="DC42" s="715"/>
      <c r="DD42" s="715"/>
      <c r="DE42" s="715"/>
      <c r="DF42" s="715"/>
      <c r="DG42" s="715"/>
      <c r="DH42" s="715"/>
      <c r="DI42" s="715"/>
      <c r="DJ42" s="715"/>
      <c r="DK42" s="715"/>
      <c r="DL42" s="715"/>
      <c r="DM42" s="715"/>
      <c r="DN42" s="715"/>
      <c r="DO42" s="715"/>
      <c r="DP42" s="715"/>
      <c r="DQ42" s="715"/>
      <c r="DR42" s="715"/>
      <c r="DS42" s="715"/>
      <c r="DT42" s="715"/>
      <c r="DU42" s="715"/>
      <c r="DV42" s="715"/>
      <c r="DW42" s="715"/>
      <c r="DX42" s="715"/>
      <c r="DY42" s="715"/>
      <c r="DZ42" s="715"/>
      <c r="EA42" s="715"/>
      <c r="EB42" s="715"/>
      <c r="EC42" s="715"/>
      <c r="ED42" s="715"/>
      <c r="EE42" s="715"/>
      <c r="EF42" s="715"/>
      <c r="EG42" s="715"/>
    </row>
    <row r="43" spans="1:137" s="365" customFormat="1" ht="104.25" customHeight="1">
      <c r="A43" s="1176"/>
      <c r="B43" s="1203"/>
      <c r="C43" s="1171" t="s">
        <v>12</v>
      </c>
      <c r="D43" s="1162">
        <v>0</v>
      </c>
      <c r="E43" s="1232">
        <v>0</v>
      </c>
      <c r="F43" s="1232">
        <v>0</v>
      </c>
      <c r="G43" s="1152">
        <v>0</v>
      </c>
      <c r="H43" s="1236"/>
      <c r="I43" s="1237"/>
      <c r="J43" s="1149"/>
      <c r="K43" s="1235"/>
      <c r="L43" s="1237"/>
      <c r="M43" s="116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c r="BQ43" s="715"/>
      <c r="BR43" s="715"/>
      <c r="BS43" s="715"/>
      <c r="BT43" s="715"/>
      <c r="BU43" s="715"/>
      <c r="BV43" s="715"/>
      <c r="BW43" s="715"/>
      <c r="BX43" s="715"/>
      <c r="BY43" s="715"/>
      <c r="BZ43" s="715"/>
      <c r="CA43" s="715"/>
      <c r="CB43" s="715"/>
      <c r="CC43" s="715"/>
      <c r="CD43" s="715"/>
      <c r="CE43" s="715"/>
      <c r="CF43" s="715"/>
      <c r="CG43" s="715"/>
      <c r="CH43" s="715"/>
      <c r="CI43" s="715"/>
      <c r="CJ43" s="715"/>
      <c r="CK43" s="715"/>
      <c r="CL43" s="715"/>
      <c r="CM43" s="715"/>
      <c r="CN43" s="715"/>
      <c r="CO43" s="715"/>
      <c r="CP43" s="715"/>
      <c r="CQ43" s="715"/>
      <c r="CR43" s="715"/>
      <c r="CS43" s="715"/>
      <c r="CT43" s="715"/>
      <c r="CU43" s="715"/>
      <c r="CV43" s="715"/>
      <c r="CW43" s="715"/>
      <c r="CX43" s="715"/>
      <c r="CY43" s="715"/>
      <c r="CZ43" s="715"/>
      <c r="DA43" s="715"/>
      <c r="DB43" s="715"/>
      <c r="DC43" s="715"/>
      <c r="DD43" s="715"/>
      <c r="DE43" s="715"/>
      <c r="DF43" s="715"/>
      <c r="DG43" s="715"/>
      <c r="DH43" s="715"/>
      <c r="DI43" s="715"/>
      <c r="DJ43" s="715"/>
      <c r="DK43" s="715"/>
      <c r="DL43" s="715"/>
      <c r="DM43" s="715"/>
      <c r="DN43" s="715"/>
      <c r="DO43" s="715"/>
      <c r="DP43" s="715"/>
      <c r="DQ43" s="715"/>
      <c r="DR43" s="715"/>
      <c r="DS43" s="715"/>
      <c r="DT43" s="715"/>
      <c r="DU43" s="715"/>
      <c r="DV43" s="715"/>
      <c r="DW43" s="715"/>
      <c r="DX43" s="715"/>
      <c r="DY43" s="715"/>
      <c r="DZ43" s="715"/>
      <c r="EA43" s="715"/>
      <c r="EB43" s="715"/>
      <c r="EC43" s="715"/>
      <c r="ED43" s="715"/>
      <c r="EE43" s="715"/>
      <c r="EF43" s="715"/>
      <c r="EG43" s="715"/>
    </row>
    <row r="44" spans="1:137" s="365" customFormat="1" ht="15" customHeight="1">
      <c r="A44" s="1169" t="s">
        <v>2822</v>
      </c>
      <c r="B44" s="1198" t="s">
        <v>2892</v>
      </c>
      <c r="C44" s="1238" t="s">
        <v>8</v>
      </c>
      <c r="D44" s="1239">
        <v>99747.4</v>
      </c>
      <c r="E44" s="1239">
        <f>SUM(E45:E48)</f>
        <v>99747.438999999998</v>
      </c>
      <c r="F44" s="1239">
        <f>SUM(F45:F48)</f>
        <v>99747.438999999998</v>
      </c>
      <c r="G44" s="1152">
        <f t="shared" si="8"/>
        <v>1.0000003909876347</v>
      </c>
      <c r="H44" s="1230" t="s">
        <v>2825</v>
      </c>
      <c r="I44" s="1150" t="s">
        <v>3187</v>
      </c>
      <c r="J44" s="1209" t="s">
        <v>2955</v>
      </c>
      <c r="K44" s="1231" t="s">
        <v>2813</v>
      </c>
      <c r="L44" s="1240"/>
      <c r="M44" s="1156">
        <v>823</v>
      </c>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715"/>
      <c r="AK44" s="715"/>
      <c r="AL44" s="715"/>
      <c r="AM44" s="715"/>
      <c r="AN44" s="715"/>
      <c r="AO44" s="715"/>
      <c r="AP44" s="715"/>
      <c r="AQ44" s="715"/>
      <c r="AR44" s="715"/>
      <c r="AS44" s="715"/>
      <c r="AT44" s="715"/>
      <c r="AU44" s="715"/>
      <c r="AV44" s="715"/>
      <c r="AW44" s="715"/>
      <c r="AX44" s="715"/>
      <c r="AY44" s="715"/>
      <c r="AZ44" s="715"/>
      <c r="BA44" s="715"/>
      <c r="BB44" s="715"/>
      <c r="BC44" s="715"/>
      <c r="BD44" s="715"/>
      <c r="BE44" s="715"/>
      <c r="BF44" s="715"/>
      <c r="BG44" s="715"/>
      <c r="BH44" s="715"/>
      <c r="BI44" s="715"/>
      <c r="BJ44" s="715"/>
      <c r="BK44" s="715"/>
      <c r="BL44" s="715"/>
      <c r="BM44" s="715"/>
      <c r="BN44" s="715"/>
      <c r="BO44" s="715"/>
      <c r="BP44" s="715"/>
      <c r="BQ44" s="715"/>
      <c r="BR44" s="715"/>
      <c r="BS44" s="715"/>
      <c r="BT44" s="715"/>
      <c r="BU44" s="715"/>
      <c r="BV44" s="715"/>
      <c r="BW44" s="715"/>
      <c r="BX44" s="715"/>
      <c r="BY44" s="715"/>
      <c r="BZ44" s="715"/>
      <c r="CA44" s="715"/>
      <c r="CB44" s="715"/>
      <c r="CC44" s="715"/>
      <c r="CD44" s="715"/>
      <c r="CE44" s="715"/>
      <c r="CF44" s="715"/>
      <c r="CG44" s="715"/>
      <c r="CH44" s="715"/>
      <c r="CI44" s="715"/>
      <c r="CJ44" s="715"/>
      <c r="CK44" s="715"/>
      <c r="CL44" s="715"/>
      <c r="CM44" s="715"/>
      <c r="CN44" s="715"/>
      <c r="CO44" s="715"/>
      <c r="CP44" s="715"/>
      <c r="CQ44" s="715"/>
      <c r="CR44" s="715"/>
      <c r="CS44" s="715"/>
      <c r="CT44" s="715"/>
      <c r="CU44" s="715"/>
      <c r="CV44" s="715"/>
      <c r="CW44" s="715"/>
      <c r="CX44" s="715"/>
      <c r="CY44" s="715"/>
      <c r="CZ44" s="715"/>
      <c r="DA44" s="715"/>
      <c r="DB44" s="715"/>
      <c r="DC44" s="715"/>
      <c r="DD44" s="715"/>
      <c r="DE44" s="715"/>
      <c r="DF44" s="715"/>
      <c r="DG44" s="715"/>
      <c r="DH44" s="715"/>
      <c r="DI44" s="715"/>
      <c r="DJ44" s="715"/>
      <c r="DK44" s="715"/>
      <c r="DL44" s="715"/>
      <c r="DM44" s="715"/>
      <c r="DN44" s="715"/>
      <c r="DO44" s="715"/>
      <c r="DP44" s="715"/>
      <c r="DQ44" s="715"/>
      <c r="DR44" s="715"/>
      <c r="DS44" s="715"/>
      <c r="DT44" s="715"/>
      <c r="DU44" s="715"/>
      <c r="DV44" s="715"/>
      <c r="DW44" s="715"/>
      <c r="DX44" s="715"/>
      <c r="DY44" s="715"/>
      <c r="DZ44" s="715"/>
      <c r="EA44" s="715"/>
      <c r="EB44" s="715"/>
      <c r="EC44" s="715"/>
      <c r="ED44" s="715"/>
      <c r="EE44" s="715"/>
      <c r="EF44" s="715"/>
      <c r="EG44" s="715"/>
    </row>
    <row r="45" spans="1:137" s="365" customFormat="1" ht="15">
      <c r="A45" s="1173"/>
      <c r="B45" s="1212"/>
      <c r="C45" s="1171" t="s">
        <v>9</v>
      </c>
      <c r="D45" s="1232">
        <v>99747.4</v>
      </c>
      <c r="E45" s="1232">
        <v>99747.438999999998</v>
      </c>
      <c r="F45" s="1232">
        <v>99747.438999999998</v>
      </c>
      <c r="G45" s="1152">
        <f t="shared" si="8"/>
        <v>1.0000003909876347</v>
      </c>
      <c r="H45" s="1214"/>
      <c r="I45" s="1157"/>
      <c r="J45" s="1215"/>
      <c r="K45" s="1235"/>
      <c r="L45" s="1241"/>
      <c r="M45" s="1159"/>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5"/>
      <c r="AY45" s="715"/>
      <c r="AZ45" s="715"/>
      <c r="BA45" s="715"/>
      <c r="BB45" s="715"/>
      <c r="BC45" s="715"/>
      <c r="BD45" s="715"/>
      <c r="BE45" s="715"/>
      <c r="BF45" s="715"/>
      <c r="BG45" s="715"/>
      <c r="BH45" s="715"/>
      <c r="BI45" s="715"/>
      <c r="BJ45" s="715"/>
      <c r="BK45" s="715"/>
      <c r="BL45" s="715"/>
      <c r="BM45" s="715"/>
      <c r="BN45" s="715"/>
      <c r="BO45" s="715"/>
      <c r="BP45" s="715"/>
      <c r="BQ45" s="715"/>
      <c r="BR45" s="715"/>
      <c r="BS45" s="715"/>
      <c r="BT45" s="715"/>
      <c r="BU45" s="715"/>
      <c r="BV45" s="715"/>
      <c r="BW45" s="715"/>
      <c r="BX45" s="715"/>
      <c r="BY45" s="715"/>
      <c r="BZ45" s="715"/>
      <c r="CA45" s="715"/>
      <c r="CB45" s="715"/>
      <c r="CC45" s="715"/>
      <c r="CD45" s="715"/>
      <c r="CE45" s="715"/>
      <c r="CF45" s="715"/>
      <c r="CG45" s="715"/>
      <c r="CH45" s="715"/>
      <c r="CI45" s="715"/>
      <c r="CJ45" s="715"/>
      <c r="CK45" s="715"/>
      <c r="CL45" s="715"/>
      <c r="CM45" s="715"/>
      <c r="CN45" s="715"/>
      <c r="CO45" s="715"/>
      <c r="CP45" s="715"/>
      <c r="CQ45" s="715"/>
      <c r="CR45" s="715"/>
      <c r="CS45" s="715"/>
      <c r="CT45" s="715"/>
      <c r="CU45" s="715"/>
      <c r="CV45" s="715"/>
      <c r="CW45" s="715"/>
      <c r="CX45" s="715"/>
      <c r="CY45" s="715"/>
      <c r="CZ45" s="715"/>
      <c r="DA45" s="715"/>
      <c r="DB45" s="715"/>
      <c r="DC45" s="715"/>
      <c r="DD45" s="715"/>
      <c r="DE45" s="715"/>
      <c r="DF45" s="715"/>
      <c r="DG45" s="715"/>
      <c r="DH45" s="715"/>
      <c r="DI45" s="715"/>
      <c r="DJ45" s="715"/>
      <c r="DK45" s="715"/>
      <c r="DL45" s="715"/>
      <c r="DM45" s="715"/>
      <c r="DN45" s="715"/>
      <c r="DO45" s="715"/>
      <c r="DP45" s="715"/>
      <c r="DQ45" s="715"/>
      <c r="DR45" s="715"/>
      <c r="DS45" s="715"/>
      <c r="DT45" s="715"/>
      <c r="DU45" s="715"/>
      <c r="DV45" s="715"/>
      <c r="DW45" s="715"/>
      <c r="DX45" s="715"/>
      <c r="DY45" s="715"/>
      <c r="DZ45" s="715"/>
      <c r="EA45" s="715"/>
      <c r="EB45" s="715"/>
      <c r="EC45" s="715"/>
      <c r="ED45" s="715"/>
      <c r="EE45" s="715"/>
      <c r="EF45" s="715"/>
      <c r="EG45" s="715"/>
    </row>
    <row r="46" spans="1:137" s="365" customFormat="1" ht="15">
      <c r="A46" s="1173"/>
      <c r="B46" s="1212"/>
      <c r="C46" s="1171" t="s">
        <v>10</v>
      </c>
      <c r="D46" s="1162">
        <v>0</v>
      </c>
      <c r="E46" s="1232">
        <v>0</v>
      </c>
      <c r="F46" s="1232">
        <v>0</v>
      </c>
      <c r="G46" s="1152">
        <v>0</v>
      </c>
      <c r="H46" s="1214"/>
      <c r="I46" s="1157"/>
      <c r="J46" s="1215"/>
      <c r="K46" s="1235"/>
      <c r="L46" s="1241"/>
      <c r="M46" s="1159"/>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715"/>
      <c r="AR46" s="715"/>
      <c r="AS46" s="715"/>
      <c r="AT46" s="715"/>
      <c r="AU46" s="715"/>
      <c r="AV46" s="715"/>
      <c r="AW46" s="715"/>
      <c r="AX46" s="715"/>
      <c r="AY46" s="715"/>
      <c r="AZ46" s="715"/>
      <c r="BA46" s="715"/>
      <c r="BB46" s="715"/>
      <c r="BC46" s="715"/>
      <c r="BD46" s="715"/>
      <c r="BE46" s="715"/>
      <c r="BF46" s="715"/>
      <c r="BG46" s="715"/>
      <c r="BH46" s="715"/>
      <c r="BI46" s="715"/>
      <c r="BJ46" s="715"/>
      <c r="BK46" s="715"/>
      <c r="BL46" s="715"/>
      <c r="BM46" s="715"/>
      <c r="BN46" s="715"/>
      <c r="BO46" s="715"/>
      <c r="BP46" s="715"/>
      <c r="BQ46" s="715"/>
      <c r="BR46" s="715"/>
      <c r="BS46" s="715"/>
      <c r="BT46" s="715"/>
      <c r="BU46" s="715"/>
      <c r="BV46" s="715"/>
      <c r="BW46" s="715"/>
      <c r="BX46" s="715"/>
      <c r="BY46" s="715"/>
      <c r="BZ46" s="715"/>
      <c r="CA46" s="715"/>
      <c r="CB46" s="715"/>
      <c r="CC46" s="715"/>
      <c r="CD46" s="715"/>
      <c r="CE46" s="715"/>
      <c r="CF46" s="715"/>
      <c r="CG46" s="715"/>
      <c r="CH46" s="715"/>
      <c r="CI46" s="715"/>
      <c r="CJ46" s="715"/>
      <c r="CK46" s="715"/>
      <c r="CL46" s="715"/>
      <c r="CM46" s="715"/>
      <c r="CN46" s="715"/>
      <c r="CO46" s="715"/>
      <c r="CP46" s="715"/>
      <c r="CQ46" s="715"/>
      <c r="CR46" s="715"/>
      <c r="CS46" s="715"/>
      <c r="CT46" s="715"/>
      <c r="CU46" s="715"/>
      <c r="CV46" s="715"/>
      <c r="CW46" s="715"/>
      <c r="CX46" s="715"/>
      <c r="CY46" s="715"/>
      <c r="CZ46" s="715"/>
      <c r="DA46" s="715"/>
      <c r="DB46" s="715"/>
      <c r="DC46" s="715"/>
      <c r="DD46" s="715"/>
      <c r="DE46" s="715"/>
      <c r="DF46" s="715"/>
      <c r="DG46" s="715"/>
      <c r="DH46" s="715"/>
      <c r="DI46" s="715"/>
      <c r="DJ46" s="715"/>
      <c r="DK46" s="715"/>
      <c r="DL46" s="715"/>
      <c r="DM46" s="715"/>
      <c r="DN46" s="715"/>
      <c r="DO46" s="715"/>
      <c r="DP46" s="715"/>
      <c r="DQ46" s="715"/>
      <c r="DR46" s="715"/>
      <c r="DS46" s="715"/>
      <c r="DT46" s="715"/>
      <c r="DU46" s="715"/>
      <c r="DV46" s="715"/>
      <c r="DW46" s="715"/>
      <c r="DX46" s="715"/>
      <c r="DY46" s="715"/>
      <c r="DZ46" s="715"/>
      <c r="EA46" s="715"/>
      <c r="EB46" s="715"/>
      <c r="EC46" s="715"/>
      <c r="ED46" s="715"/>
      <c r="EE46" s="715"/>
      <c r="EF46" s="715"/>
      <c r="EG46" s="715"/>
    </row>
    <row r="47" spans="1:137" s="365" customFormat="1" ht="15">
      <c r="A47" s="1173"/>
      <c r="B47" s="1212"/>
      <c r="C47" s="1171" t="s">
        <v>11</v>
      </c>
      <c r="D47" s="1162">
        <v>0</v>
      </c>
      <c r="E47" s="1232">
        <v>0</v>
      </c>
      <c r="F47" s="1232">
        <v>0</v>
      </c>
      <c r="G47" s="1152">
        <v>0</v>
      </c>
      <c r="H47" s="1214"/>
      <c r="I47" s="1157"/>
      <c r="J47" s="1215"/>
      <c r="K47" s="1235"/>
      <c r="L47" s="1241"/>
      <c r="M47" s="1159"/>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5"/>
      <c r="AY47" s="715"/>
      <c r="AZ47" s="715"/>
      <c r="BA47" s="715"/>
      <c r="BB47" s="715"/>
      <c r="BC47" s="715"/>
      <c r="BD47" s="715"/>
      <c r="BE47" s="715"/>
      <c r="BF47" s="715"/>
      <c r="BG47" s="715"/>
      <c r="BH47" s="715"/>
      <c r="BI47" s="715"/>
      <c r="BJ47" s="715"/>
      <c r="BK47" s="715"/>
      <c r="BL47" s="715"/>
      <c r="BM47" s="715"/>
      <c r="BN47" s="715"/>
      <c r="BO47" s="715"/>
      <c r="BP47" s="715"/>
      <c r="BQ47" s="715"/>
      <c r="BR47" s="715"/>
      <c r="BS47" s="715"/>
      <c r="BT47" s="715"/>
      <c r="BU47" s="715"/>
      <c r="BV47" s="715"/>
      <c r="BW47" s="715"/>
      <c r="BX47" s="715"/>
      <c r="BY47" s="715"/>
      <c r="BZ47" s="715"/>
      <c r="CA47" s="715"/>
      <c r="CB47" s="715"/>
      <c r="CC47" s="715"/>
      <c r="CD47" s="715"/>
      <c r="CE47" s="715"/>
      <c r="CF47" s="715"/>
      <c r="CG47" s="715"/>
      <c r="CH47" s="715"/>
      <c r="CI47" s="715"/>
      <c r="CJ47" s="715"/>
      <c r="CK47" s="715"/>
      <c r="CL47" s="715"/>
      <c r="CM47" s="715"/>
      <c r="CN47" s="715"/>
      <c r="CO47" s="715"/>
      <c r="CP47" s="715"/>
      <c r="CQ47" s="715"/>
      <c r="CR47" s="715"/>
      <c r="CS47" s="715"/>
      <c r="CT47" s="715"/>
      <c r="CU47" s="715"/>
      <c r="CV47" s="715"/>
      <c r="CW47" s="715"/>
      <c r="CX47" s="715"/>
      <c r="CY47" s="715"/>
      <c r="CZ47" s="715"/>
      <c r="DA47" s="715"/>
      <c r="DB47" s="715"/>
      <c r="DC47" s="715"/>
      <c r="DD47" s="715"/>
      <c r="DE47" s="715"/>
      <c r="DF47" s="715"/>
      <c r="DG47" s="715"/>
      <c r="DH47" s="715"/>
      <c r="DI47" s="715"/>
      <c r="DJ47" s="715"/>
      <c r="DK47" s="715"/>
      <c r="DL47" s="715"/>
      <c r="DM47" s="715"/>
      <c r="DN47" s="715"/>
      <c r="DO47" s="715"/>
      <c r="DP47" s="715"/>
      <c r="DQ47" s="715"/>
      <c r="DR47" s="715"/>
      <c r="DS47" s="715"/>
      <c r="DT47" s="715"/>
      <c r="DU47" s="715"/>
      <c r="DV47" s="715"/>
      <c r="DW47" s="715"/>
      <c r="DX47" s="715"/>
      <c r="DY47" s="715"/>
      <c r="DZ47" s="715"/>
      <c r="EA47" s="715"/>
      <c r="EB47" s="715"/>
      <c r="EC47" s="715"/>
      <c r="ED47" s="715"/>
      <c r="EE47" s="715"/>
      <c r="EF47" s="715"/>
      <c r="EG47" s="715"/>
    </row>
    <row r="48" spans="1:137" s="365" customFormat="1" ht="42" customHeight="1">
      <c r="A48" s="1176"/>
      <c r="B48" s="1218"/>
      <c r="C48" s="1171" t="s">
        <v>12</v>
      </c>
      <c r="D48" s="1162">
        <v>0</v>
      </c>
      <c r="E48" s="1232">
        <v>0</v>
      </c>
      <c r="F48" s="1232">
        <v>0</v>
      </c>
      <c r="G48" s="1152">
        <v>0</v>
      </c>
      <c r="H48" s="1221"/>
      <c r="I48" s="1161"/>
      <c r="J48" s="1149"/>
      <c r="K48" s="1242"/>
      <c r="L48" s="1243"/>
      <c r="M48" s="1159"/>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15"/>
      <c r="BS48" s="715"/>
      <c r="BT48" s="715"/>
      <c r="BU48" s="715"/>
      <c r="BV48" s="715"/>
      <c r="BW48" s="715"/>
      <c r="BX48" s="715"/>
      <c r="BY48" s="715"/>
      <c r="BZ48" s="715"/>
      <c r="CA48" s="715"/>
      <c r="CB48" s="715"/>
      <c r="CC48" s="715"/>
      <c r="CD48" s="715"/>
      <c r="CE48" s="715"/>
      <c r="CF48" s="715"/>
      <c r="CG48" s="715"/>
      <c r="CH48" s="715"/>
      <c r="CI48" s="715"/>
      <c r="CJ48" s="715"/>
      <c r="CK48" s="715"/>
      <c r="CL48" s="715"/>
      <c r="CM48" s="715"/>
      <c r="CN48" s="715"/>
      <c r="CO48" s="715"/>
      <c r="CP48" s="715"/>
      <c r="CQ48" s="715"/>
      <c r="CR48" s="715"/>
      <c r="CS48" s="715"/>
      <c r="CT48" s="715"/>
      <c r="CU48" s="715"/>
      <c r="CV48" s="715"/>
      <c r="CW48" s="715"/>
      <c r="CX48" s="715"/>
      <c r="CY48" s="715"/>
      <c r="CZ48" s="715"/>
      <c r="DA48" s="715"/>
      <c r="DB48" s="715"/>
      <c r="DC48" s="715"/>
      <c r="DD48" s="715"/>
      <c r="DE48" s="715"/>
      <c r="DF48" s="715"/>
      <c r="DG48" s="715"/>
      <c r="DH48" s="715"/>
      <c r="DI48" s="715"/>
      <c r="DJ48" s="715"/>
      <c r="DK48" s="715"/>
      <c r="DL48" s="715"/>
      <c r="DM48" s="715"/>
      <c r="DN48" s="715"/>
      <c r="DO48" s="715"/>
      <c r="DP48" s="715"/>
      <c r="DQ48" s="715"/>
      <c r="DR48" s="715"/>
      <c r="DS48" s="715"/>
      <c r="DT48" s="715"/>
      <c r="DU48" s="715"/>
      <c r="DV48" s="715"/>
      <c r="DW48" s="715"/>
      <c r="DX48" s="715"/>
      <c r="DY48" s="715"/>
      <c r="DZ48" s="715"/>
      <c r="EA48" s="715"/>
      <c r="EB48" s="715"/>
      <c r="EC48" s="715"/>
      <c r="ED48" s="715"/>
      <c r="EE48" s="715"/>
      <c r="EF48" s="715"/>
      <c r="EG48" s="715"/>
    </row>
    <row r="49" spans="1:137" s="365" customFormat="1" ht="15">
      <c r="A49" s="1244" t="s">
        <v>2898</v>
      </c>
      <c r="B49" s="1179" t="s">
        <v>2893</v>
      </c>
      <c r="C49" s="1238" t="s">
        <v>8</v>
      </c>
      <c r="D49" s="1151">
        <v>20000</v>
      </c>
      <c r="E49" s="1175">
        <v>20000</v>
      </c>
      <c r="F49" s="1175">
        <v>20000</v>
      </c>
      <c r="G49" s="1172">
        <v>1</v>
      </c>
      <c r="H49" s="1245" t="s">
        <v>2878</v>
      </c>
      <c r="I49" s="1185" t="s">
        <v>3018</v>
      </c>
      <c r="J49" s="1185" t="s">
        <v>330</v>
      </c>
      <c r="K49" s="1246"/>
      <c r="L49" s="1241"/>
      <c r="M49" s="1156">
        <v>823</v>
      </c>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715"/>
      <c r="AV49" s="715"/>
      <c r="AW49" s="715"/>
      <c r="AX49" s="715"/>
      <c r="AY49" s="715"/>
      <c r="AZ49" s="715"/>
      <c r="BA49" s="715"/>
      <c r="BB49" s="715"/>
      <c r="BC49" s="715"/>
      <c r="BD49" s="715"/>
      <c r="BE49" s="715"/>
      <c r="BF49" s="715"/>
      <c r="BG49" s="715"/>
      <c r="BH49" s="715"/>
      <c r="BI49" s="715"/>
      <c r="BJ49" s="715"/>
      <c r="BK49" s="715"/>
      <c r="BL49" s="715"/>
      <c r="BM49" s="715"/>
      <c r="BN49" s="715"/>
      <c r="BO49" s="715"/>
      <c r="BP49" s="715"/>
      <c r="BQ49" s="715"/>
      <c r="BR49" s="715"/>
      <c r="BS49" s="715"/>
      <c r="BT49" s="715"/>
      <c r="BU49" s="715"/>
      <c r="BV49" s="715"/>
      <c r="BW49" s="715"/>
      <c r="BX49" s="715"/>
      <c r="BY49" s="715"/>
      <c r="BZ49" s="715"/>
      <c r="CA49" s="715"/>
      <c r="CB49" s="715"/>
      <c r="CC49" s="715"/>
      <c r="CD49" s="715"/>
      <c r="CE49" s="715"/>
      <c r="CF49" s="715"/>
      <c r="CG49" s="715"/>
      <c r="CH49" s="715"/>
      <c r="CI49" s="715"/>
      <c r="CJ49" s="715"/>
      <c r="CK49" s="715"/>
      <c r="CL49" s="715"/>
      <c r="CM49" s="715"/>
      <c r="CN49" s="715"/>
      <c r="CO49" s="715"/>
      <c r="CP49" s="715"/>
      <c r="CQ49" s="715"/>
      <c r="CR49" s="715"/>
      <c r="CS49" s="715"/>
      <c r="CT49" s="715"/>
      <c r="CU49" s="715"/>
      <c r="CV49" s="715"/>
      <c r="CW49" s="715"/>
      <c r="CX49" s="715"/>
      <c r="CY49" s="715"/>
      <c r="CZ49" s="715"/>
      <c r="DA49" s="715"/>
      <c r="DB49" s="715"/>
      <c r="DC49" s="715"/>
      <c r="DD49" s="715"/>
      <c r="DE49" s="715"/>
      <c r="DF49" s="715"/>
      <c r="DG49" s="715"/>
      <c r="DH49" s="715"/>
      <c r="DI49" s="715"/>
      <c r="DJ49" s="715"/>
      <c r="DK49" s="715"/>
      <c r="DL49" s="715"/>
      <c r="DM49" s="715"/>
      <c r="DN49" s="715"/>
      <c r="DO49" s="715"/>
      <c r="DP49" s="715"/>
      <c r="DQ49" s="715"/>
      <c r="DR49" s="715"/>
      <c r="DS49" s="715"/>
      <c r="DT49" s="715"/>
      <c r="DU49" s="715"/>
      <c r="DV49" s="715"/>
      <c r="DW49" s="715"/>
      <c r="DX49" s="715"/>
      <c r="DY49" s="715"/>
      <c r="DZ49" s="715"/>
      <c r="EA49" s="715"/>
      <c r="EB49" s="715"/>
      <c r="EC49" s="715"/>
      <c r="ED49" s="715"/>
      <c r="EE49" s="715"/>
      <c r="EF49" s="715"/>
      <c r="EG49" s="715"/>
    </row>
    <row r="50" spans="1:137" s="365" customFormat="1" ht="15">
      <c r="A50" s="1247"/>
      <c r="B50" s="1188"/>
      <c r="C50" s="1171" t="s">
        <v>9</v>
      </c>
      <c r="D50" s="1151">
        <v>20000</v>
      </c>
      <c r="E50" s="1175">
        <v>20000</v>
      </c>
      <c r="F50" s="1175">
        <v>20000</v>
      </c>
      <c r="G50" s="1172">
        <v>1</v>
      </c>
      <c r="H50" s="1248"/>
      <c r="I50" s="1192"/>
      <c r="J50" s="1192"/>
      <c r="K50" s="1246"/>
      <c r="L50" s="1241"/>
      <c r="M50" s="1159"/>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15"/>
      <c r="AY50" s="715"/>
      <c r="AZ50" s="715"/>
      <c r="BA50" s="715"/>
      <c r="BB50" s="715"/>
      <c r="BC50" s="715"/>
      <c r="BD50" s="715"/>
      <c r="BE50" s="715"/>
      <c r="BF50" s="715"/>
      <c r="BG50" s="715"/>
      <c r="BH50" s="715"/>
      <c r="BI50" s="715"/>
      <c r="BJ50" s="715"/>
      <c r="BK50" s="715"/>
      <c r="BL50" s="715"/>
      <c r="BM50" s="715"/>
      <c r="BN50" s="715"/>
      <c r="BO50" s="715"/>
      <c r="BP50" s="715"/>
      <c r="BQ50" s="715"/>
      <c r="BR50" s="715"/>
      <c r="BS50" s="715"/>
      <c r="BT50" s="715"/>
      <c r="BU50" s="715"/>
      <c r="BV50" s="715"/>
      <c r="BW50" s="715"/>
      <c r="BX50" s="715"/>
      <c r="BY50" s="715"/>
      <c r="BZ50" s="715"/>
      <c r="CA50" s="715"/>
      <c r="CB50" s="715"/>
      <c r="CC50" s="715"/>
      <c r="CD50" s="715"/>
      <c r="CE50" s="715"/>
      <c r="CF50" s="715"/>
      <c r="CG50" s="715"/>
      <c r="CH50" s="715"/>
      <c r="CI50" s="715"/>
      <c r="CJ50" s="715"/>
      <c r="CK50" s="715"/>
      <c r="CL50" s="715"/>
      <c r="CM50" s="715"/>
      <c r="CN50" s="715"/>
      <c r="CO50" s="715"/>
      <c r="CP50" s="715"/>
      <c r="CQ50" s="715"/>
      <c r="CR50" s="715"/>
      <c r="CS50" s="715"/>
      <c r="CT50" s="715"/>
      <c r="CU50" s="715"/>
      <c r="CV50" s="715"/>
      <c r="CW50" s="715"/>
      <c r="CX50" s="715"/>
      <c r="CY50" s="715"/>
      <c r="CZ50" s="715"/>
      <c r="DA50" s="715"/>
      <c r="DB50" s="715"/>
      <c r="DC50" s="715"/>
      <c r="DD50" s="715"/>
      <c r="DE50" s="715"/>
      <c r="DF50" s="715"/>
      <c r="DG50" s="715"/>
      <c r="DH50" s="715"/>
      <c r="DI50" s="715"/>
      <c r="DJ50" s="715"/>
      <c r="DK50" s="715"/>
      <c r="DL50" s="715"/>
      <c r="DM50" s="715"/>
      <c r="DN50" s="715"/>
      <c r="DO50" s="715"/>
      <c r="DP50" s="715"/>
      <c r="DQ50" s="715"/>
      <c r="DR50" s="715"/>
      <c r="DS50" s="715"/>
      <c r="DT50" s="715"/>
      <c r="DU50" s="715"/>
      <c r="DV50" s="715"/>
      <c r="DW50" s="715"/>
      <c r="DX50" s="715"/>
      <c r="DY50" s="715"/>
      <c r="DZ50" s="715"/>
      <c r="EA50" s="715"/>
      <c r="EB50" s="715"/>
      <c r="EC50" s="715"/>
      <c r="ED50" s="715"/>
      <c r="EE50" s="715"/>
      <c r="EF50" s="715"/>
      <c r="EG50" s="715"/>
    </row>
    <row r="51" spans="1:137" s="365" customFormat="1" ht="15">
      <c r="A51" s="1247"/>
      <c r="B51" s="1188"/>
      <c r="C51" s="1171" t="s">
        <v>10</v>
      </c>
      <c r="D51" s="1151">
        <v>0</v>
      </c>
      <c r="E51" s="1175">
        <v>0</v>
      </c>
      <c r="F51" s="1175">
        <v>0</v>
      </c>
      <c r="G51" s="1172">
        <v>0</v>
      </c>
      <c r="H51" s="1248"/>
      <c r="I51" s="1192"/>
      <c r="J51" s="1192"/>
      <c r="K51" s="1246" t="s">
        <v>2813</v>
      </c>
      <c r="L51" s="1241"/>
      <c r="M51" s="1159"/>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5"/>
      <c r="AQ51" s="715"/>
      <c r="AR51" s="715"/>
      <c r="AS51" s="715"/>
      <c r="AT51" s="715"/>
      <c r="AU51" s="715"/>
      <c r="AV51" s="715"/>
      <c r="AW51" s="715"/>
      <c r="AX51" s="715"/>
      <c r="AY51" s="715"/>
      <c r="AZ51" s="715"/>
      <c r="BA51" s="715"/>
      <c r="BB51" s="715"/>
      <c r="BC51" s="715"/>
      <c r="BD51" s="715"/>
      <c r="BE51" s="715"/>
      <c r="BF51" s="715"/>
      <c r="BG51" s="715"/>
      <c r="BH51" s="715"/>
      <c r="BI51" s="715"/>
      <c r="BJ51" s="715"/>
      <c r="BK51" s="715"/>
      <c r="BL51" s="715"/>
      <c r="BM51" s="715"/>
      <c r="BN51" s="715"/>
      <c r="BO51" s="715"/>
      <c r="BP51" s="715"/>
      <c r="BQ51" s="715"/>
      <c r="BR51" s="715"/>
      <c r="BS51" s="715"/>
      <c r="BT51" s="715"/>
      <c r="BU51" s="715"/>
      <c r="BV51" s="715"/>
      <c r="BW51" s="715"/>
      <c r="BX51" s="715"/>
      <c r="BY51" s="715"/>
      <c r="BZ51" s="715"/>
      <c r="CA51" s="715"/>
      <c r="CB51" s="715"/>
      <c r="CC51" s="715"/>
      <c r="CD51" s="715"/>
      <c r="CE51" s="715"/>
      <c r="CF51" s="715"/>
      <c r="CG51" s="715"/>
      <c r="CH51" s="715"/>
      <c r="CI51" s="715"/>
      <c r="CJ51" s="715"/>
      <c r="CK51" s="715"/>
      <c r="CL51" s="715"/>
      <c r="CM51" s="715"/>
      <c r="CN51" s="715"/>
      <c r="CO51" s="715"/>
      <c r="CP51" s="715"/>
      <c r="CQ51" s="715"/>
      <c r="CR51" s="715"/>
      <c r="CS51" s="715"/>
      <c r="CT51" s="715"/>
      <c r="CU51" s="715"/>
      <c r="CV51" s="715"/>
      <c r="CW51" s="715"/>
      <c r="CX51" s="715"/>
      <c r="CY51" s="715"/>
      <c r="CZ51" s="715"/>
      <c r="DA51" s="715"/>
      <c r="DB51" s="715"/>
      <c r="DC51" s="715"/>
      <c r="DD51" s="715"/>
      <c r="DE51" s="715"/>
      <c r="DF51" s="715"/>
      <c r="DG51" s="715"/>
      <c r="DH51" s="715"/>
      <c r="DI51" s="715"/>
      <c r="DJ51" s="715"/>
      <c r="DK51" s="715"/>
      <c r="DL51" s="715"/>
      <c r="DM51" s="715"/>
      <c r="DN51" s="715"/>
      <c r="DO51" s="715"/>
      <c r="DP51" s="715"/>
      <c r="DQ51" s="715"/>
      <c r="DR51" s="715"/>
      <c r="DS51" s="715"/>
      <c r="DT51" s="715"/>
      <c r="DU51" s="715"/>
      <c r="DV51" s="715"/>
      <c r="DW51" s="715"/>
      <c r="DX51" s="715"/>
      <c r="DY51" s="715"/>
      <c r="DZ51" s="715"/>
      <c r="EA51" s="715"/>
      <c r="EB51" s="715"/>
      <c r="EC51" s="715"/>
      <c r="ED51" s="715"/>
      <c r="EE51" s="715"/>
      <c r="EF51" s="715"/>
      <c r="EG51" s="715"/>
    </row>
    <row r="52" spans="1:137" s="365" customFormat="1" ht="15">
      <c r="A52" s="1247"/>
      <c r="B52" s="1188"/>
      <c r="C52" s="1171" t="s">
        <v>11</v>
      </c>
      <c r="D52" s="1151">
        <v>0</v>
      </c>
      <c r="E52" s="1175">
        <v>0</v>
      </c>
      <c r="F52" s="1175">
        <v>0</v>
      </c>
      <c r="G52" s="1172">
        <v>0</v>
      </c>
      <c r="H52" s="1248"/>
      <c r="I52" s="1192"/>
      <c r="J52" s="1192"/>
      <c r="K52" s="1246"/>
      <c r="L52" s="1241"/>
      <c r="M52" s="1159"/>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P52" s="715"/>
      <c r="AQ52" s="715"/>
      <c r="AR52" s="715"/>
      <c r="AS52" s="715"/>
      <c r="AT52" s="715"/>
      <c r="AU52" s="715"/>
      <c r="AV52" s="715"/>
      <c r="AW52" s="715"/>
      <c r="AX52" s="715"/>
      <c r="AY52" s="715"/>
      <c r="AZ52" s="715"/>
      <c r="BA52" s="715"/>
      <c r="BB52" s="715"/>
      <c r="BC52" s="715"/>
      <c r="BD52" s="715"/>
      <c r="BE52" s="715"/>
      <c r="BF52" s="715"/>
      <c r="BG52" s="715"/>
      <c r="BH52" s="715"/>
      <c r="BI52" s="715"/>
      <c r="BJ52" s="715"/>
      <c r="BK52" s="715"/>
      <c r="BL52" s="715"/>
      <c r="BM52" s="715"/>
      <c r="BN52" s="715"/>
      <c r="BO52" s="715"/>
      <c r="BP52" s="715"/>
      <c r="BQ52" s="715"/>
      <c r="BR52" s="715"/>
      <c r="BS52" s="715"/>
      <c r="BT52" s="715"/>
      <c r="BU52" s="715"/>
      <c r="BV52" s="715"/>
      <c r="BW52" s="715"/>
      <c r="BX52" s="715"/>
      <c r="BY52" s="715"/>
      <c r="BZ52" s="715"/>
      <c r="CA52" s="715"/>
      <c r="CB52" s="715"/>
      <c r="CC52" s="715"/>
      <c r="CD52" s="715"/>
      <c r="CE52" s="715"/>
      <c r="CF52" s="715"/>
      <c r="CG52" s="715"/>
      <c r="CH52" s="715"/>
      <c r="CI52" s="715"/>
      <c r="CJ52" s="715"/>
      <c r="CK52" s="715"/>
      <c r="CL52" s="715"/>
      <c r="CM52" s="715"/>
      <c r="CN52" s="715"/>
      <c r="CO52" s="715"/>
      <c r="CP52" s="715"/>
      <c r="CQ52" s="715"/>
      <c r="CR52" s="715"/>
      <c r="CS52" s="715"/>
      <c r="CT52" s="715"/>
      <c r="CU52" s="715"/>
      <c r="CV52" s="715"/>
      <c r="CW52" s="715"/>
      <c r="CX52" s="715"/>
      <c r="CY52" s="715"/>
      <c r="CZ52" s="715"/>
      <c r="DA52" s="715"/>
      <c r="DB52" s="715"/>
      <c r="DC52" s="715"/>
      <c r="DD52" s="715"/>
      <c r="DE52" s="715"/>
      <c r="DF52" s="715"/>
      <c r="DG52" s="715"/>
      <c r="DH52" s="715"/>
      <c r="DI52" s="715"/>
      <c r="DJ52" s="715"/>
      <c r="DK52" s="715"/>
      <c r="DL52" s="715"/>
      <c r="DM52" s="715"/>
      <c r="DN52" s="715"/>
      <c r="DO52" s="715"/>
      <c r="DP52" s="715"/>
      <c r="DQ52" s="715"/>
      <c r="DR52" s="715"/>
      <c r="DS52" s="715"/>
      <c r="DT52" s="715"/>
      <c r="DU52" s="715"/>
      <c r="DV52" s="715"/>
      <c r="DW52" s="715"/>
      <c r="DX52" s="715"/>
      <c r="DY52" s="715"/>
      <c r="DZ52" s="715"/>
      <c r="EA52" s="715"/>
      <c r="EB52" s="715"/>
      <c r="EC52" s="715"/>
      <c r="ED52" s="715"/>
      <c r="EE52" s="715"/>
      <c r="EF52" s="715"/>
      <c r="EG52" s="715"/>
    </row>
    <row r="53" spans="1:137" s="365" customFormat="1" ht="44.25" customHeight="1">
      <c r="A53" s="1249"/>
      <c r="B53" s="1195"/>
      <c r="C53" s="1171" t="s">
        <v>12</v>
      </c>
      <c r="D53" s="1151">
        <v>0</v>
      </c>
      <c r="E53" s="1175">
        <v>0</v>
      </c>
      <c r="F53" s="1175">
        <v>0</v>
      </c>
      <c r="G53" s="1172">
        <v>0</v>
      </c>
      <c r="H53" s="1248"/>
      <c r="I53" s="1250"/>
      <c r="J53" s="1250"/>
      <c r="K53" s="1251"/>
      <c r="L53" s="1241"/>
      <c r="M53" s="1159"/>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P53" s="715"/>
      <c r="AQ53" s="715"/>
      <c r="AR53" s="715"/>
      <c r="AS53" s="715"/>
      <c r="AT53" s="715"/>
      <c r="AU53" s="715"/>
      <c r="AV53" s="715"/>
      <c r="AW53" s="715"/>
      <c r="AX53" s="715"/>
      <c r="AY53" s="715"/>
      <c r="AZ53" s="715"/>
      <c r="BA53" s="715"/>
      <c r="BB53" s="715"/>
      <c r="BC53" s="715"/>
      <c r="BD53" s="715"/>
      <c r="BE53" s="715"/>
      <c r="BF53" s="715"/>
      <c r="BG53" s="715"/>
      <c r="BH53" s="715"/>
      <c r="BI53" s="715"/>
      <c r="BJ53" s="715"/>
      <c r="BK53" s="715"/>
      <c r="BL53" s="715"/>
      <c r="BM53" s="715"/>
      <c r="BN53" s="715"/>
      <c r="BO53" s="715"/>
      <c r="BP53" s="715"/>
      <c r="BQ53" s="715"/>
      <c r="BR53" s="715"/>
      <c r="BS53" s="715"/>
      <c r="BT53" s="715"/>
      <c r="BU53" s="715"/>
      <c r="BV53" s="715"/>
      <c r="BW53" s="715"/>
      <c r="BX53" s="715"/>
      <c r="BY53" s="715"/>
      <c r="BZ53" s="715"/>
      <c r="CA53" s="715"/>
      <c r="CB53" s="715"/>
      <c r="CC53" s="715"/>
      <c r="CD53" s="715"/>
      <c r="CE53" s="715"/>
      <c r="CF53" s="715"/>
      <c r="CG53" s="715"/>
      <c r="CH53" s="715"/>
      <c r="CI53" s="715"/>
      <c r="CJ53" s="715"/>
      <c r="CK53" s="715"/>
      <c r="CL53" s="715"/>
      <c r="CM53" s="715"/>
      <c r="CN53" s="715"/>
      <c r="CO53" s="715"/>
      <c r="CP53" s="715"/>
      <c r="CQ53" s="715"/>
      <c r="CR53" s="715"/>
      <c r="CS53" s="715"/>
      <c r="CT53" s="715"/>
      <c r="CU53" s="715"/>
      <c r="CV53" s="715"/>
      <c r="CW53" s="715"/>
      <c r="CX53" s="715"/>
      <c r="CY53" s="715"/>
      <c r="CZ53" s="715"/>
      <c r="DA53" s="715"/>
      <c r="DB53" s="715"/>
      <c r="DC53" s="715"/>
      <c r="DD53" s="715"/>
      <c r="DE53" s="715"/>
      <c r="DF53" s="715"/>
      <c r="DG53" s="715"/>
      <c r="DH53" s="715"/>
      <c r="DI53" s="715"/>
      <c r="DJ53" s="715"/>
      <c r="DK53" s="715"/>
      <c r="DL53" s="715"/>
      <c r="DM53" s="715"/>
      <c r="DN53" s="715"/>
      <c r="DO53" s="715"/>
      <c r="DP53" s="715"/>
      <c r="DQ53" s="715"/>
      <c r="DR53" s="715"/>
      <c r="DS53" s="715"/>
      <c r="DT53" s="715"/>
      <c r="DU53" s="715"/>
      <c r="DV53" s="715"/>
      <c r="DW53" s="715"/>
      <c r="DX53" s="715"/>
      <c r="DY53" s="715"/>
      <c r="DZ53" s="715"/>
      <c r="EA53" s="715"/>
      <c r="EB53" s="715"/>
      <c r="EC53" s="715"/>
      <c r="ED53" s="715"/>
      <c r="EE53" s="715"/>
      <c r="EF53" s="715"/>
      <c r="EG53" s="715"/>
    </row>
    <row r="54" spans="1:137" s="365" customFormat="1" ht="15">
      <c r="A54" s="1244" t="s">
        <v>2902</v>
      </c>
      <c r="B54" s="1179" t="s">
        <v>2894</v>
      </c>
      <c r="C54" s="1238" t="s">
        <v>8</v>
      </c>
      <c r="D54" s="1162">
        <v>3220</v>
      </c>
      <c r="E54" s="1232">
        <f>SUM(E55:E58)</f>
        <v>3220</v>
      </c>
      <c r="F54" s="1232">
        <f>SUM(F55:F58)</f>
        <v>3220</v>
      </c>
      <c r="G54" s="1152">
        <f t="shared" ref="G54:G58" si="9">F54/D54</f>
        <v>1</v>
      </c>
      <c r="H54" s="1179" t="s">
        <v>2956</v>
      </c>
      <c r="I54" s="1179" t="s">
        <v>2957</v>
      </c>
      <c r="J54" s="1185" t="s">
        <v>330</v>
      </c>
      <c r="K54" s="1231" t="s">
        <v>2813</v>
      </c>
      <c r="L54" s="1137"/>
      <c r="M54" s="1156">
        <v>823</v>
      </c>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15"/>
      <c r="BM54" s="715"/>
      <c r="BN54" s="715"/>
      <c r="BO54" s="715"/>
      <c r="BP54" s="715"/>
      <c r="BQ54" s="715"/>
      <c r="BR54" s="715"/>
      <c r="BS54" s="715"/>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CU54" s="715"/>
      <c r="CV54" s="715"/>
      <c r="CW54" s="715"/>
      <c r="CX54" s="715"/>
      <c r="CY54" s="715"/>
      <c r="CZ54" s="715"/>
      <c r="DA54" s="715"/>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c r="EC54" s="715"/>
      <c r="ED54" s="715"/>
      <c r="EE54" s="715"/>
      <c r="EF54" s="715"/>
      <c r="EG54" s="715"/>
    </row>
    <row r="55" spans="1:137" s="365" customFormat="1" ht="15">
      <c r="A55" s="1247"/>
      <c r="B55" s="1188"/>
      <c r="C55" s="1171" t="s">
        <v>9</v>
      </c>
      <c r="D55" s="1162">
        <v>3220</v>
      </c>
      <c r="E55" s="1232">
        <v>3220</v>
      </c>
      <c r="F55" s="1232">
        <v>3220</v>
      </c>
      <c r="G55" s="1152">
        <f t="shared" si="9"/>
        <v>1</v>
      </c>
      <c r="H55" s="1188"/>
      <c r="I55" s="1188"/>
      <c r="J55" s="1192"/>
      <c r="K55" s="1235"/>
      <c r="L55" s="1137"/>
      <c r="M55" s="1159"/>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5"/>
      <c r="AY55" s="715"/>
      <c r="AZ55" s="715"/>
      <c r="BA55" s="715"/>
      <c r="BB55" s="715"/>
      <c r="BC55" s="715"/>
      <c r="BD55" s="715"/>
      <c r="BE55" s="715"/>
      <c r="BF55" s="715"/>
      <c r="BG55" s="715"/>
      <c r="BH55" s="715"/>
      <c r="BI55" s="715"/>
      <c r="BJ55" s="715"/>
      <c r="BK55" s="715"/>
      <c r="BL55" s="715"/>
      <c r="BM55" s="715"/>
      <c r="BN55" s="715"/>
      <c r="BO55" s="715"/>
      <c r="BP55" s="715"/>
      <c r="BQ55" s="715"/>
      <c r="BR55" s="715"/>
      <c r="BS55" s="715"/>
      <c r="BT55" s="715"/>
      <c r="BU55" s="715"/>
      <c r="BV55" s="715"/>
      <c r="BW55" s="715"/>
      <c r="BX55" s="715"/>
      <c r="BY55" s="715"/>
      <c r="BZ55" s="715"/>
      <c r="CA55" s="715"/>
      <c r="CB55" s="715"/>
      <c r="CC55" s="715"/>
      <c r="CD55" s="715"/>
      <c r="CE55" s="715"/>
      <c r="CF55" s="715"/>
      <c r="CG55" s="715"/>
      <c r="CH55" s="715"/>
      <c r="CI55" s="715"/>
      <c r="CJ55" s="715"/>
      <c r="CK55" s="715"/>
      <c r="CL55" s="715"/>
      <c r="CM55" s="715"/>
      <c r="CN55" s="715"/>
      <c r="CO55" s="715"/>
      <c r="CP55" s="715"/>
      <c r="CQ55" s="715"/>
      <c r="CR55" s="715"/>
      <c r="CS55" s="715"/>
      <c r="CT55" s="715"/>
      <c r="CU55" s="715"/>
      <c r="CV55" s="715"/>
      <c r="CW55" s="715"/>
      <c r="CX55" s="715"/>
      <c r="CY55" s="715"/>
      <c r="CZ55" s="715"/>
      <c r="DA55" s="715"/>
      <c r="DB55" s="715"/>
      <c r="DC55" s="715"/>
      <c r="DD55" s="715"/>
      <c r="DE55" s="715"/>
      <c r="DF55" s="715"/>
      <c r="DG55" s="715"/>
      <c r="DH55" s="715"/>
      <c r="DI55" s="715"/>
      <c r="DJ55" s="715"/>
      <c r="DK55" s="715"/>
      <c r="DL55" s="715"/>
      <c r="DM55" s="715"/>
      <c r="DN55" s="715"/>
      <c r="DO55" s="715"/>
      <c r="DP55" s="715"/>
      <c r="DQ55" s="715"/>
      <c r="DR55" s="715"/>
      <c r="DS55" s="715"/>
      <c r="DT55" s="715"/>
      <c r="DU55" s="715"/>
      <c r="DV55" s="715"/>
      <c r="DW55" s="715"/>
      <c r="DX55" s="715"/>
      <c r="DY55" s="715"/>
      <c r="DZ55" s="715"/>
      <c r="EA55" s="715"/>
      <c r="EB55" s="715"/>
      <c r="EC55" s="715"/>
      <c r="ED55" s="715"/>
      <c r="EE55" s="715"/>
      <c r="EF55" s="715"/>
      <c r="EG55" s="715"/>
    </row>
    <row r="56" spans="1:137" s="365" customFormat="1" ht="15">
      <c r="A56" s="1247"/>
      <c r="B56" s="1188"/>
      <c r="C56" s="1171" t="s">
        <v>10</v>
      </c>
      <c r="D56" s="1162">
        <v>0</v>
      </c>
      <c r="E56" s="1232">
        <v>0</v>
      </c>
      <c r="F56" s="1232">
        <v>0</v>
      </c>
      <c r="G56" s="1152" t="e">
        <f t="shared" si="9"/>
        <v>#DIV/0!</v>
      </c>
      <c r="H56" s="1188"/>
      <c r="I56" s="1188"/>
      <c r="J56" s="1192"/>
      <c r="K56" s="1235"/>
      <c r="L56" s="1137"/>
      <c r="M56" s="1159"/>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5"/>
      <c r="AY56" s="715"/>
      <c r="AZ56" s="715"/>
      <c r="BA56" s="715"/>
      <c r="BB56" s="715"/>
      <c r="BC56" s="715"/>
      <c r="BD56" s="715"/>
      <c r="BE56" s="715"/>
      <c r="BF56" s="715"/>
      <c r="BG56" s="715"/>
      <c r="BH56" s="715"/>
      <c r="BI56" s="715"/>
      <c r="BJ56" s="715"/>
      <c r="BK56" s="715"/>
      <c r="BL56" s="715"/>
      <c r="BM56" s="715"/>
      <c r="BN56" s="715"/>
      <c r="BO56" s="715"/>
      <c r="BP56" s="715"/>
      <c r="BQ56" s="715"/>
      <c r="BR56" s="715"/>
      <c r="BS56" s="715"/>
      <c r="BT56" s="715"/>
      <c r="BU56" s="715"/>
      <c r="BV56" s="715"/>
      <c r="BW56" s="715"/>
      <c r="BX56" s="715"/>
      <c r="BY56" s="715"/>
      <c r="BZ56" s="715"/>
      <c r="CA56" s="715"/>
      <c r="CB56" s="715"/>
      <c r="CC56" s="715"/>
      <c r="CD56" s="715"/>
      <c r="CE56" s="715"/>
      <c r="CF56" s="715"/>
      <c r="CG56" s="715"/>
      <c r="CH56" s="715"/>
      <c r="CI56" s="715"/>
      <c r="CJ56" s="715"/>
      <c r="CK56" s="715"/>
      <c r="CL56" s="715"/>
      <c r="CM56" s="715"/>
      <c r="CN56" s="715"/>
      <c r="CO56" s="715"/>
      <c r="CP56" s="715"/>
      <c r="CQ56" s="715"/>
      <c r="CR56" s="715"/>
      <c r="CS56" s="715"/>
      <c r="CT56" s="715"/>
      <c r="CU56" s="715"/>
      <c r="CV56" s="715"/>
      <c r="CW56" s="715"/>
      <c r="CX56" s="715"/>
      <c r="CY56" s="715"/>
      <c r="CZ56" s="715"/>
      <c r="DA56" s="715"/>
      <c r="DB56" s="715"/>
      <c r="DC56" s="715"/>
      <c r="DD56" s="715"/>
      <c r="DE56" s="715"/>
      <c r="DF56" s="715"/>
      <c r="DG56" s="715"/>
      <c r="DH56" s="715"/>
      <c r="DI56" s="715"/>
      <c r="DJ56" s="715"/>
      <c r="DK56" s="715"/>
      <c r="DL56" s="715"/>
      <c r="DM56" s="715"/>
      <c r="DN56" s="715"/>
      <c r="DO56" s="715"/>
      <c r="DP56" s="715"/>
      <c r="DQ56" s="715"/>
      <c r="DR56" s="715"/>
      <c r="DS56" s="715"/>
      <c r="DT56" s="715"/>
      <c r="DU56" s="715"/>
      <c r="DV56" s="715"/>
      <c r="DW56" s="715"/>
      <c r="DX56" s="715"/>
      <c r="DY56" s="715"/>
      <c r="DZ56" s="715"/>
      <c r="EA56" s="715"/>
      <c r="EB56" s="715"/>
      <c r="EC56" s="715"/>
      <c r="ED56" s="715"/>
      <c r="EE56" s="715"/>
      <c r="EF56" s="715"/>
      <c r="EG56" s="715"/>
    </row>
    <row r="57" spans="1:137" s="365" customFormat="1" ht="15">
      <c r="A57" s="1247"/>
      <c r="B57" s="1188"/>
      <c r="C57" s="1171" t="s">
        <v>11</v>
      </c>
      <c r="D57" s="1162">
        <v>0</v>
      </c>
      <c r="E57" s="1232">
        <v>0</v>
      </c>
      <c r="F57" s="1232">
        <v>0</v>
      </c>
      <c r="G57" s="1152" t="e">
        <f t="shared" si="9"/>
        <v>#DIV/0!</v>
      </c>
      <c r="H57" s="1188"/>
      <c r="I57" s="1188"/>
      <c r="J57" s="1192"/>
      <c r="K57" s="1235"/>
      <c r="L57" s="1137"/>
      <c r="M57" s="1159"/>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15"/>
      <c r="BM57" s="715"/>
      <c r="BN57" s="715"/>
      <c r="BO57" s="715"/>
      <c r="BP57" s="715"/>
      <c r="BQ57" s="715"/>
      <c r="BR57" s="715"/>
      <c r="BS57" s="715"/>
      <c r="BT57" s="715"/>
      <c r="BU57" s="715"/>
      <c r="BV57" s="715"/>
      <c r="BW57" s="715"/>
      <c r="BX57" s="715"/>
      <c r="BY57" s="715"/>
      <c r="BZ57" s="715"/>
      <c r="CA57" s="715"/>
      <c r="CB57" s="715"/>
      <c r="CC57" s="715"/>
      <c r="CD57" s="715"/>
      <c r="CE57" s="715"/>
      <c r="CF57" s="715"/>
      <c r="CG57" s="715"/>
      <c r="CH57" s="715"/>
      <c r="CI57" s="715"/>
      <c r="CJ57" s="715"/>
      <c r="CK57" s="715"/>
      <c r="CL57" s="715"/>
      <c r="CM57" s="715"/>
      <c r="CN57" s="715"/>
      <c r="CO57" s="715"/>
      <c r="CP57" s="715"/>
      <c r="CQ57" s="715"/>
      <c r="CR57" s="715"/>
      <c r="CS57" s="715"/>
      <c r="CT57" s="715"/>
      <c r="CU57" s="715"/>
      <c r="CV57" s="715"/>
      <c r="CW57" s="715"/>
      <c r="CX57" s="715"/>
      <c r="CY57" s="715"/>
      <c r="CZ57" s="715"/>
      <c r="DA57" s="715"/>
      <c r="DB57" s="715"/>
      <c r="DC57" s="715"/>
      <c r="DD57" s="715"/>
      <c r="DE57" s="715"/>
      <c r="DF57" s="715"/>
      <c r="DG57" s="715"/>
      <c r="DH57" s="715"/>
      <c r="DI57" s="715"/>
      <c r="DJ57" s="715"/>
      <c r="DK57" s="715"/>
      <c r="DL57" s="715"/>
      <c r="DM57" s="715"/>
      <c r="DN57" s="715"/>
      <c r="DO57" s="715"/>
      <c r="DP57" s="715"/>
      <c r="DQ57" s="715"/>
      <c r="DR57" s="715"/>
      <c r="DS57" s="715"/>
      <c r="DT57" s="715"/>
      <c r="DU57" s="715"/>
      <c r="DV57" s="715"/>
      <c r="DW57" s="715"/>
      <c r="DX57" s="715"/>
      <c r="DY57" s="715"/>
      <c r="DZ57" s="715"/>
      <c r="EA57" s="715"/>
      <c r="EB57" s="715"/>
      <c r="EC57" s="715"/>
      <c r="ED57" s="715"/>
      <c r="EE57" s="715"/>
      <c r="EF57" s="715"/>
      <c r="EG57" s="715"/>
    </row>
    <row r="58" spans="1:137" s="365" customFormat="1" ht="55.5" customHeight="1">
      <c r="A58" s="1249"/>
      <c r="B58" s="1195"/>
      <c r="C58" s="1171" t="s">
        <v>12</v>
      </c>
      <c r="D58" s="1162">
        <v>0</v>
      </c>
      <c r="E58" s="1232">
        <v>0</v>
      </c>
      <c r="F58" s="1232">
        <v>0</v>
      </c>
      <c r="G58" s="1152" t="e">
        <f t="shared" si="9"/>
        <v>#DIV/0!</v>
      </c>
      <c r="H58" s="1195"/>
      <c r="I58" s="1195"/>
      <c r="J58" s="1250"/>
      <c r="K58" s="1242"/>
      <c r="L58" s="1137"/>
      <c r="M58" s="1159"/>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5"/>
      <c r="AL58" s="715"/>
      <c r="AM58" s="715"/>
      <c r="AN58" s="715"/>
      <c r="AO58" s="715"/>
      <c r="AP58" s="715"/>
      <c r="AQ58" s="715"/>
      <c r="AR58" s="715"/>
      <c r="AS58" s="715"/>
      <c r="AT58" s="715"/>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c r="BQ58" s="715"/>
      <c r="BR58" s="715"/>
      <c r="BS58" s="715"/>
      <c r="BT58" s="715"/>
      <c r="BU58" s="715"/>
      <c r="BV58" s="715"/>
      <c r="BW58" s="715"/>
      <c r="BX58" s="715"/>
      <c r="BY58" s="715"/>
      <c r="BZ58" s="715"/>
      <c r="CA58" s="715"/>
      <c r="CB58" s="715"/>
      <c r="CC58" s="715"/>
      <c r="CD58" s="715"/>
      <c r="CE58" s="715"/>
      <c r="CF58" s="715"/>
      <c r="CG58" s="715"/>
      <c r="CH58" s="715"/>
      <c r="CI58" s="715"/>
      <c r="CJ58" s="715"/>
      <c r="CK58" s="715"/>
      <c r="CL58" s="715"/>
      <c r="CM58" s="715"/>
      <c r="CN58" s="715"/>
      <c r="CO58" s="715"/>
      <c r="CP58" s="715"/>
      <c r="CQ58" s="715"/>
      <c r="CR58" s="715"/>
      <c r="CS58" s="715"/>
      <c r="CT58" s="715"/>
      <c r="CU58" s="715"/>
      <c r="CV58" s="715"/>
      <c r="CW58" s="715"/>
      <c r="CX58" s="715"/>
      <c r="CY58" s="715"/>
      <c r="CZ58" s="715"/>
      <c r="DA58" s="715"/>
      <c r="DB58" s="715"/>
      <c r="DC58" s="715"/>
      <c r="DD58" s="715"/>
      <c r="DE58" s="715"/>
      <c r="DF58" s="715"/>
      <c r="DG58" s="715"/>
      <c r="DH58" s="715"/>
      <c r="DI58" s="715"/>
      <c r="DJ58" s="715"/>
      <c r="DK58" s="715"/>
      <c r="DL58" s="715"/>
      <c r="DM58" s="715"/>
      <c r="DN58" s="715"/>
      <c r="DO58" s="715"/>
      <c r="DP58" s="715"/>
      <c r="DQ58" s="715"/>
      <c r="DR58" s="715"/>
      <c r="DS58" s="715"/>
      <c r="DT58" s="715"/>
      <c r="DU58" s="715"/>
      <c r="DV58" s="715"/>
      <c r="DW58" s="715"/>
      <c r="DX58" s="715"/>
      <c r="DY58" s="715"/>
      <c r="DZ58" s="715"/>
      <c r="EA58" s="715"/>
      <c r="EB58" s="715"/>
      <c r="EC58" s="715"/>
      <c r="ED58" s="715"/>
      <c r="EE58" s="715"/>
      <c r="EF58" s="715"/>
      <c r="EG58" s="715"/>
    </row>
    <row r="59" spans="1:137" s="365" customFormat="1" ht="32.25" customHeight="1">
      <c r="A59" s="1244" t="s">
        <v>2903</v>
      </c>
      <c r="B59" s="1179" t="s">
        <v>2895</v>
      </c>
      <c r="C59" s="1238" t="s">
        <v>8</v>
      </c>
      <c r="D59" s="1162">
        <v>21000</v>
      </c>
      <c r="E59" s="1232">
        <v>21000</v>
      </c>
      <c r="F59" s="1232">
        <v>21000</v>
      </c>
      <c r="G59" s="1152">
        <v>1</v>
      </c>
      <c r="H59" s="1179" t="s">
        <v>2958</v>
      </c>
      <c r="I59" s="1179" t="s">
        <v>2964</v>
      </c>
      <c r="J59" s="1185" t="s">
        <v>2955</v>
      </c>
      <c r="K59" s="1231" t="s">
        <v>2813</v>
      </c>
      <c r="L59" s="1137"/>
      <c r="M59" s="1156">
        <v>823</v>
      </c>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5"/>
      <c r="AQ59" s="715"/>
      <c r="AR59" s="715"/>
      <c r="AS59" s="715"/>
      <c r="AT59" s="715"/>
      <c r="AU59" s="715"/>
      <c r="AV59" s="715"/>
      <c r="AW59" s="715"/>
      <c r="AX59" s="715"/>
      <c r="AY59" s="715"/>
      <c r="AZ59" s="715"/>
      <c r="BA59" s="715"/>
      <c r="BB59" s="715"/>
      <c r="BC59" s="715"/>
      <c r="BD59" s="715"/>
      <c r="BE59" s="715"/>
      <c r="BF59" s="715"/>
      <c r="BG59" s="715"/>
      <c r="BH59" s="715"/>
      <c r="BI59" s="715"/>
      <c r="BJ59" s="715"/>
      <c r="BK59" s="715"/>
      <c r="BL59" s="715"/>
      <c r="BM59" s="715"/>
      <c r="BN59" s="715"/>
      <c r="BO59" s="715"/>
      <c r="BP59" s="715"/>
      <c r="BQ59" s="715"/>
      <c r="BR59" s="715"/>
      <c r="BS59" s="715"/>
      <c r="BT59" s="715"/>
      <c r="BU59" s="715"/>
      <c r="BV59" s="715"/>
      <c r="BW59" s="715"/>
      <c r="BX59" s="715"/>
      <c r="BY59" s="715"/>
      <c r="BZ59" s="715"/>
      <c r="CA59" s="715"/>
      <c r="CB59" s="715"/>
      <c r="CC59" s="715"/>
      <c r="CD59" s="715"/>
      <c r="CE59" s="715"/>
      <c r="CF59" s="715"/>
      <c r="CG59" s="715"/>
      <c r="CH59" s="715"/>
      <c r="CI59" s="715"/>
      <c r="CJ59" s="715"/>
      <c r="CK59" s="715"/>
      <c r="CL59" s="715"/>
      <c r="CM59" s="715"/>
      <c r="CN59" s="715"/>
      <c r="CO59" s="715"/>
      <c r="CP59" s="715"/>
      <c r="CQ59" s="715"/>
      <c r="CR59" s="715"/>
      <c r="CS59" s="715"/>
      <c r="CT59" s="715"/>
      <c r="CU59" s="715"/>
      <c r="CV59" s="715"/>
      <c r="CW59" s="715"/>
      <c r="CX59" s="715"/>
      <c r="CY59" s="715"/>
      <c r="CZ59" s="715"/>
      <c r="DA59" s="715"/>
      <c r="DB59" s="715"/>
      <c r="DC59" s="715"/>
      <c r="DD59" s="715"/>
      <c r="DE59" s="715"/>
      <c r="DF59" s="715"/>
      <c r="DG59" s="715"/>
      <c r="DH59" s="715"/>
      <c r="DI59" s="715"/>
      <c r="DJ59" s="715"/>
      <c r="DK59" s="715"/>
      <c r="DL59" s="715"/>
      <c r="DM59" s="715"/>
      <c r="DN59" s="715"/>
      <c r="DO59" s="715"/>
      <c r="DP59" s="715"/>
      <c r="DQ59" s="715"/>
      <c r="DR59" s="715"/>
      <c r="DS59" s="715"/>
      <c r="DT59" s="715"/>
      <c r="DU59" s="715"/>
      <c r="DV59" s="715"/>
      <c r="DW59" s="715"/>
      <c r="DX59" s="715"/>
      <c r="DY59" s="715"/>
      <c r="DZ59" s="715"/>
      <c r="EA59" s="715"/>
      <c r="EB59" s="715"/>
      <c r="EC59" s="715"/>
      <c r="ED59" s="715"/>
      <c r="EE59" s="715"/>
      <c r="EF59" s="715"/>
      <c r="EG59" s="715"/>
    </row>
    <row r="60" spans="1:137" s="365" customFormat="1" ht="25.5" customHeight="1">
      <c r="A60" s="1247"/>
      <c r="B60" s="1188"/>
      <c r="C60" s="1171" t="s">
        <v>9</v>
      </c>
      <c r="D60" s="1162">
        <v>21000</v>
      </c>
      <c r="E60" s="1232">
        <v>21000</v>
      </c>
      <c r="F60" s="1232">
        <v>21000</v>
      </c>
      <c r="G60" s="1152">
        <v>1</v>
      </c>
      <c r="H60" s="1188"/>
      <c r="I60" s="1188"/>
      <c r="J60" s="1192"/>
      <c r="K60" s="1235"/>
      <c r="L60" s="1137"/>
      <c r="M60" s="1159"/>
      <c r="N60" s="715"/>
      <c r="O60" s="715"/>
      <c r="P60" s="715"/>
      <c r="Q60" s="715"/>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715"/>
      <c r="BF60" s="715"/>
      <c r="BG60" s="715"/>
      <c r="BH60" s="715"/>
      <c r="BI60" s="715"/>
      <c r="BJ60" s="715"/>
      <c r="BK60" s="715"/>
      <c r="BL60" s="715"/>
      <c r="BM60" s="715"/>
      <c r="BN60" s="715"/>
      <c r="BO60" s="715"/>
      <c r="BP60" s="715"/>
      <c r="BQ60" s="715"/>
      <c r="BR60" s="715"/>
      <c r="BS60" s="715"/>
      <c r="BT60" s="715"/>
      <c r="BU60" s="715"/>
      <c r="BV60" s="715"/>
      <c r="BW60" s="715"/>
      <c r="BX60" s="715"/>
      <c r="BY60" s="715"/>
      <c r="BZ60" s="715"/>
      <c r="CA60" s="715"/>
      <c r="CB60" s="715"/>
      <c r="CC60" s="715"/>
      <c r="CD60" s="715"/>
      <c r="CE60" s="715"/>
      <c r="CF60" s="715"/>
      <c r="CG60" s="715"/>
      <c r="CH60" s="715"/>
      <c r="CI60" s="715"/>
      <c r="CJ60" s="715"/>
      <c r="CK60" s="715"/>
      <c r="CL60" s="715"/>
      <c r="CM60" s="715"/>
      <c r="CN60" s="715"/>
      <c r="CO60" s="715"/>
      <c r="CP60" s="715"/>
      <c r="CQ60" s="715"/>
      <c r="CR60" s="715"/>
      <c r="CS60" s="715"/>
      <c r="CT60" s="715"/>
      <c r="CU60" s="715"/>
      <c r="CV60" s="715"/>
      <c r="CW60" s="715"/>
      <c r="CX60" s="715"/>
      <c r="CY60" s="715"/>
      <c r="CZ60" s="715"/>
      <c r="DA60" s="715"/>
      <c r="DB60" s="715"/>
      <c r="DC60" s="715"/>
      <c r="DD60" s="715"/>
      <c r="DE60" s="715"/>
      <c r="DF60" s="715"/>
      <c r="DG60" s="715"/>
      <c r="DH60" s="715"/>
      <c r="DI60" s="715"/>
      <c r="DJ60" s="715"/>
      <c r="DK60" s="715"/>
      <c r="DL60" s="715"/>
      <c r="DM60" s="715"/>
      <c r="DN60" s="715"/>
      <c r="DO60" s="715"/>
      <c r="DP60" s="715"/>
      <c r="DQ60" s="715"/>
      <c r="DR60" s="715"/>
      <c r="DS60" s="715"/>
      <c r="DT60" s="715"/>
      <c r="DU60" s="715"/>
      <c r="DV60" s="715"/>
      <c r="DW60" s="715"/>
      <c r="DX60" s="715"/>
      <c r="DY60" s="715"/>
      <c r="DZ60" s="715"/>
      <c r="EA60" s="715"/>
      <c r="EB60" s="715"/>
      <c r="EC60" s="715"/>
      <c r="ED60" s="715"/>
      <c r="EE60" s="715"/>
      <c r="EF60" s="715"/>
      <c r="EG60" s="715"/>
    </row>
    <row r="61" spans="1:137" s="365" customFormat="1" ht="15">
      <c r="A61" s="1247"/>
      <c r="B61" s="1188"/>
      <c r="C61" s="1171" t="s">
        <v>10</v>
      </c>
      <c r="D61" s="1162">
        <v>0</v>
      </c>
      <c r="E61" s="1232">
        <v>0</v>
      </c>
      <c r="F61" s="1232">
        <v>0</v>
      </c>
      <c r="G61" s="1152">
        <v>0</v>
      </c>
      <c r="H61" s="1188"/>
      <c r="I61" s="1188"/>
      <c r="J61" s="1192"/>
      <c r="K61" s="1235"/>
      <c r="L61" s="1137"/>
      <c r="M61" s="1159"/>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5"/>
      <c r="AY61" s="715"/>
      <c r="AZ61" s="715"/>
      <c r="BA61" s="715"/>
      <c r="BB61" s="715"/>
      <c r="BC61" s="715"/>
      <c r="BD61" s="715"/>
      <c r="BE61" s="715"/>
      <c r="BF61" s="715"/>
      <c r="BG61" s="715"/>
      <c r="BH61" s="715"/>
      <c r="BI61" s="715"/>
      <c r="BJ61" s="715"/>
      <c r="BK61" s="715"/>
      <c r="BL61" s="715"/>
      <c r="BM61" s="715"/>
      <c r="BN61" s="715"/>
      <c r="BO61" s="715"/>
      <c r="BP61" s="715"/>
      <c r="BQ61" s="715"/>
      <c r="BR61" s="715"/>
      <c r="BS61" s="715"/>
      <c r="BT61" s="715"/>
      <c r="BU61" s="715"/>
      <c r="BV61" s="715"/>
      <c r="BW61" s="715"/>
      <c r="BX61" s="715"/>
      <c r="BY61" s="715"/>
      <c r="BZ61" s="715"/>
      <c r="CA61" s="715"/>
      <c r="CB61" s="715"/>
      <c r="CC61" s="715"/>
      <c r="CD61" s="715"/>
      <c r="CE61" s="715"/>
      <c r="CF61" s="715"/>
      <c r="CG61" s="715"/>
      <c r="CH61" s="715"/>
      <c r="CI61" s="715"/>
      <c r="CJ61" s="715"/>
      <c r="CK61" s="715"/>
      <c r="CL61" s="715"/>
      <c r="CM61" s="715"/>
      <c r="CN61" s="715"/>
      <c r="CO61" s="715"/>
      <c r="CP61" s="715"/>
      <c r="CQ61" s="715"/>
      <c r="CR61" s="715"/>
      <c r="CS61" s="715"/>
      <c r="CT61" s="715"/>
      <c r="CU61" s="715"/>
      <c r="CV61" s="715"/>
      <c r="CW61" s="715"/>
      <c r="CX61" s="715"/>
      <c r="CY61" s="715"/>
      <c r="CZ61" s="715"/>
      <c r="DA61" s="715"/>
      <c r="DB61" s="715"/>
      <c r="DC61" s="715"/>
      <c r="DD61" s="715"/>
      <c r="DE61" s="715"/>
      <c r="DF61" s="715"/>
      <c r="DG61" s="715"/>
      <c r="DH61" s="715"/>
      <c r="DI61" s="715"/>
      <c r="DJ61" s="715"/>
      <c r="DK61" s="715"/>
      <c r="DL61" s="715"/>
      <c r="DM61" s="715"/>
      <c r="DN61" s="715"/>
      <c r="DO61" s="715"/>
      <c r="DP61" s="715"/>
      <c r="DQ61" s="715"/>
      <c r="DR61" s="715"/>
      <c r="DS61" s="715"/>
      <c r="DT61" s="715"/>
      <c r="DU61" s="715"/>
      <c r="DV61" s="715"/>
      <c r="DW61" s="715"/>
      <c r="DX61" s="715"/>
      <c r="DY61" s="715"/>
      <c r="DZ61" s="715"/>
      <c r="EA61" s="715"/>
      <c r="EB61" s="715"/>
      <c r="EC61" s="715"/>
      <c r="ED61" s="715"/>
      <c r="EE61" s="715"/>
      <c r="EF61" s="715"/>
      <c r="EG61" s="715"/>
    </row>
    <row r="62" spans="1:137" s="365" customFormat="1" ht="21" customHeight="1">
      <c r="A62" s="1247"/>
      <c r="B62" s="1188"/>
      <c r="C62" s="1171" t="s">
        <v>11</v>
      </c>
      <c r="D62" s="1162">
        <v>0</v>
      </c>
      <c r="E62" s="1232">
        <v>0</v>
      </c>
      <c r="F62" s="1232">
        <v>0</v>
      </c>
      <c r="G62" s="1152">
        <v>0</v>
      </c>
      <c r="H62" s="1188"/>
      <c r="I62" s="1188"/>
      <c r="J62" s="1192"/>
      <c r="K62" s="1235"/>
      <c r="L62" s="1137"/>
      <c r="M62" s="1159"/>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715"/>
      <c r="BV62" s="715"/>
      <c r="BW62" s="715"/>
      <c r="BX62" s="715"/>
      <c r="BY62" s="715"/>
      <c r="BZ62" s="715"/>
      <c r="CA62" s="715"/>
      <c r="CB62" s="715"/>
      <c r="CC62" s="715"/>
      <c r="CD62" s="715"/>
      <c r="CE62" s="715"/>
      <c r="CF62" s="715"/>
      <c r="CG62" s="715"/>
      <c r="CH62" s="715"/>
      <c r="CI62" s="715"/>
      <c r="CJ62" s="715"/>
      <c r="CK62" s="715"/>
      <c r="CL62" s="715"/>
      <c r="CM62" s="715"/>
      <c r="CN62" s="715"/>
      <c r="CO62" s="715"/>
      <c r="CP62" s="715"/>
      <c r="CQ62" s="715"/>
      <c r="CR62" s="715"/>
      <c r="CS62" s="715"/>
      <c r="CT62" s="715"/>
      <c r="CU62" s="715"/>
      <c r="CV62" s="715"/>
      <c r="CW62" s="715"/>
      <c r="CX62" s="715"/>
      <c r="CY62" s="715"/>
      <c r="CZ62" s="715"/>
      <c r="DA62" s="715"/>
      <c r="DB62" s="715"/>
      <c r="DC62" s="715"/>
      <c r="DD62" s="715"/>
      <c r="DE62" s="715"/>
      <c r="DF62" s="715"/>
      <c r="DG62" s="715"/>
      <c r="DH62" s="715"/>
      <c r="DI62" s="715"/>
      <c r="DJ62" s="715"/>
      <c r="DK62" s="715"/>
      <c r="DL62" s="715"/>
      <c r="DM62" s="715"/>
      <c r="DN62" s="715"/>
      <c r="DO62" s="715"/>
      <c r="DP62" s="715"/>
      <c r="DQ62" s="715"/>
      <c r="DR62" s="715"/>
      <c r="DS62" s="715"/>
      <c r="DT62" s="715"/>
      <c r="DU62" s="715"/>
      <c r="DV62" s="715"/>
      <c r="DW62" s="715"/>
      <c r="DX62" s="715"/>
      <c r="DY62" s="715"/>
      <c r="DZ62" s="715"/>
      <c r="EA62" s="715"/>
      <c r="EB62" s="715"/>
      <c r="EC62" s="715"/>
      <c r="ED62" s="715"/>
      <c r="EE62" s="715"/>
      <c r="EF62" s="715"/>
      <c r="EG62" s="715"/>
    </row>
    <row r="63" spans="1:137" s="365" customFormat="1" ht="15">
      <c r="A63" s="1249"/>
      <c r="B63" s="1195"/>
      <c r="C63" s="1171" t="s">
        <v>12</v>
      </c>
      <c r="D63" s="1162">
        <v>0</v>
      </c>
      <c r="E63" s="1232">
        <v>0</v>
      </c>
      <c r="F63" s="1232">
        <v>0</v>
      </c>
      <c r="G63" s="1152">
        <v>0</v>
      </c>
      <c r="H63" s="1195"/>
      <c r="I63" s="1195"/>
      <c r="J63" s="1250"/>
      <c r="K63" s="1242"/>
      <c r="L63" s="1137"/>
      <c r="M63" s="1159"/>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5"/>
      <c r="AY63" s="715"/>
      <c r="AZ63" s="715"/>
      <c r="BA63" s="715"/>
      <c r="BB63" s="715"/>
      <c r="BC63" s="715"/>
      <c r="BD63" s="715"/>
      <c r="BE63" s="715"/>
      <c r="BF63" s="715"/>
      <c r="BG63" s="715"/>
      <c r="BH63" s="715"/>
      <c r="BI63" s="715"/>
      <c r="BJ63" s="715"/>
      <c r="BK63" s="715"/>
      <c r="BL63" s="715"/>
      <c r="BM63" s="715"/>
      <c r="BN63" s="715"/>
      <c r="BO63" s="715"/>
      <c r="BP63" s="715"/>
      <c r="BQ63" s="715"/>
      <c r="BR63" s="715"/>
      <c r="BS63" s="715"/>
      <c r="BT63" s="715"/>
      <c r="BU63" s="715"/>
      <c r="BV63" s="715"/>
      <c r="BW63" s="715"/>
      <c r="BX63" s="715"/>
      <c r="BY63" s="715"/>
      <c r="BZ63" s="715"/>
      <c r="CA63" s="715"/>
      <c r="CB63" s="715"/>
      <c r="CC63" s="715"/>
      <c r="CD63" s="715"/>
      <c r="CE63" s="715"/>
      <c r="CF63" s="715"/>
      <c r="CG63" s="715"/>
      <c r="CH63" s="715"/>
      <c r="CI63" s="715"/>
      <c r="CJ63" s="715"/>
      <c r="CK63" s="715"/>
      <c r="CL63" s="715"/>
      <c r="CM63" s="715"/>
      <c r="CN63" s="715"/>
      <c r="CO63" s="715"/>
      <c r="CP63" s="715"/>
      <c r="CQ63" s="715"/>
      <c r="CR63" s="715"/>
      <c r="CS63" s="715"/>
      <c r="CT63" s="715"/>
      <c r="CU63" s="715"/>
      <c r="CV63" s="715"/>
      <c r="CW63" s="715"/>
      <c r="CX63" s="715"/>
      <c r="CY63" s="715"/>
      <c r="CZ63" s="715"/>
      <c r="DA63" s="715"/>
      <c r="DB63" s="715"/>
      <c r="DC63" s="715"/>
      <c r="DD63" s="715"/>
      <c r="DE63" s="715"/>
      <c r="DF63" s="715"/>
      <c r="DG63" s="715"/>
      <c r="DH63" s="715"/>
      <c r="DI63" s="715"/>
      <c r="DJ63" s="715"/>
      <c r="DK63" s="715"/>
      <c r="DL63" s="715"/>
      <c r="DM63" s="715"/>
      <c r="DN63" s="715"/>
      <c r="DO63" s="715"/>
      <c r="DP63" s="715"/>
      <c r="DQ63" s="715"/>
      <c r="DR63" s="715"/>
      <c r="DS63" s="715"/>
      <c r="DT63" s="715"/>
      <c r="DU63" s="715"/>
      <c r="DV63" s="715"/>
      <c r="DW63" s="715"/>
      <c r="DX63" s="715"/>
      <c r="DY63" s="715"/>
      <c r="DZ63" s="715"/>
      <c r="EA63" s="715"/>
      <c r="EB63" s="715"/>
      <c r="EC63" s="715"/>
      <c r="ED63" s="715"/>
      <c r="EE63" s="715"/>
      <c r="EF63" s="715"/>
      <c r="EG63" s="715"/>
    </row>
    <row r="64" spans="1:137" s="365" customFormat="1" ht="15" customHeight="1">
      <c r="A64" s="1244" t="s">
        <v>2904</v>
      </c>
      <c r="B64" s="1179" t="s">
        <v>2896</v>
      </c>
      <c r="C64" s="1238" t="s">
        <v>8</v>
      </c>
      <c r="D64" s="1162">
        <v>9000</v>
      </c>
      <c r="E64" s="1232">
        <f>SUM(E65:E68)</f>
        <v>9000</v>
      </c>
      <c r="F64" s="1232">
        <f>SUM(F65:F68)</f>
        <v>9000</v>
      </c>
      <c r="G64" s="1152">
        <f t="shared" ref="G64:G73" si="10">F64/D64</f>
        <v>1</v>
      </c>
      <c r="H64" s="1179" t="s">
        <v>2961</v>
      </c>
      <c r="I64" s="1179" t="s">
        <v>2960</v>
      </c>
      <c r="J64" s="1185" t="s">
        <v>2955</v>
      </c>
      <c r="K64" s="1231" t="s">
        <v>2813</v>
      </c>
      <c r="L64" s="1137"/>
      <c r="M64" s="1156">
        <v>823</v>
      </c>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5"/>
      <c r="AY64" s="715"/>
      <c r="AZ64" s="715"/>
      <c r="BA64" s="715"/>
      <c r="BB64" s="715"/>
      <c r="BC64" s="715"/>
      <c r="BD64" s="715"/>
      <c r="BE64" s="715"/>
      <c r="BF64" s="715"/>
      <c r="BG64" s="715"/>
      <c r="BH64" s="715"/>
      <c r="BI64" s="715"/>
      <c r="BJ64" s="715"/>
      <c r="BK64" s="715"/>
      <c r="BL64" s="715"/>
      <c r="BM64" s="715"/>
      <c r="BN64" s="715"/>
      <c r="BO64" s="715"/>
      <c r="BP64" s="715"/>
      <c r="BQ64" s="715"/>
      <c r="BR64" s="715"/>
      <c r="BS64" s="715"/>
      <c r="BT64" s="715"/>
      <c r="BU64" s="715"/>
      <c r="BV64" s="715"/>
      <c r="BW64" s="715"/>
      <c r="BX64" s="715"/>
      <c r="BY64" s="715"/>
      <c r="BZ64" s="715"/>
      <c r="CA64" s="715"/>
      <c r="CB64" s="715"/>
      <c r="CC64" s="715"/>
      <c r="CD64" s="715"/>
      <c r="CE64" s="715"/>
      <c r="CF64" s="715"/>
      <c r="CG64" s="715"/>
      <c r="CH64" s="715"/>
      <c r="CI64" s="715"/>
      <c r="CJ64" s="715"/>
      <c r="CK64" s="715"/>
      <c r="CL64" s="715"/>
      <c r="CM64" s="715"/>
      <c r="CN64" s="715"/>
      <c r="CO64" s="715"/>
      <c r="CP64" s="715"/>
      <c r="CQ64" s="715"/>
      <c r="CR64" s="715"/>
      <c r="CS64" s="715"/>
      <c r="CT64" s="715"/>
      <c r="CU64" s="715"/>
      <c r="CV64" s="715"/>
      <c r="CW64" s="715"/>
      <c r="CX64" s="715"/>
      <c r="CY64" s="715"/>
      <c r="CZ64" s="715"/>
      <c r="DA64" s="715"/>
      <c r="DB64" s="715"/>
      <c r="DC64" s="715"/>
      <c r="DD64" s="715"/>
      <c r="DE64" s="715"/>
      <c r="DF64" s="715"/>
      <c r="DG64" s="715"/>
      <c r="DH64" s="715"/>
      <c r="DI64" s="715"/>
      <c r="DJ64" s="715"/>
      <c r="DK64" s="715"/>
      <c r="DL64" s="715"/>
      <c r="DM64" s="715"/>
      <c r="DN64" s="715"/>
      <c r="DO64" s="715"/>
      <c r="DP64" s="715"/>
      <c r="DQ64" s="715"/>
      <c r="DR64" s="715"/>
      <c r="DS64" s="715"/>
      <c r="DT64" s="715"/>
      <c r="DU64" s="715"/>
      <c r="DV64" s="715"/>
      <c r="DW64" s="715"/>
      <c r="DX64" s="715"/>
      <c r="DY64" s="715"/>
      <c r="DZ64" s="715"/>
      <c r="EA64" s="715"/>
      <c r="EB64" s="715"/>
      <c r="EC64" s="715"/>
      <c r="ED64" s="715"/>
      <c r="EE64" s="715"/>
      <c r="EF64" s="715"/>
      <c r="EG64" s="715"/>
    </row>
    <row r="65" spans="1:137" s="365" customFormat="1" ht="15">
      <c r="A65" s="1247"/>
      <c r="B65" s="1188"/>
      <c r="C65" s="1171" t="s">
        <v>9</v>
      </c>
      <c r="D65" s="1162">
        <v>9000</v>
      </c>
      <c r="E65" s="1232">
        <v>9000</v>
      </c>
      <c r="F65" s="1232">
        <v>9000</v>
      </c>
      <c r="G65" s="1152">
        <f t="shared" si="10"/>
        <v>1</v>
      </c>
      <c r="H65" s="1188"/>
      <c r="I65" s="1188"/>
      <c r="J65" s="1192"/>
      <c r="K65" s="1235"/>
      <c r="L65" s="1137"/>
      <c r="M65" s="1159"/>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15"/>
      <c r="AP65" s="715"/>
      <c r="AQ65" s="715"/>
      <c r="AR65" s="715"/>
      <c r="AS65" s="715"/>
      <c r="AT65" s="715"/>
      <c r="AU65" s="715"/>
      <c r="AV65" s="715"/>
      <c r="AW65" s="715"/>
      <c r="AX65" s="715"/>
      <c r="AY65" s="715"/>
      <c r="AZ65" s="715"/>
      <c r="BA65" s="715"/>
      <c r="BB65" s="715"/>
      <c r="BC65" s="715"/>
      <c r="BD65" s="715"/>
      <c r="BE65" s="715"/>
      <c r="BF65" s="715"/>
      <c r="BG65" s="715"/>
      <c r="BH65" s="715"/>
      <c r="BI65" s="715"/>
      <c r="BJ65" s="715"/>
      <c r="BK65" s="715"/>
      <c r="BL65" s="715"/>
      <c r="BM65" s="715"/>
      <c r="BN65" s="715"/>
      <c r="BO65" s="715"/>
      <c r="BP65" s="715"/>
      <c r="BQ65" s="715"/>
      <c r="BR65" s="715"/>
      <c r="BS65" s="715"/>
      <c r="BT65" s="715"/>
      <c r="BU65" s="715"/>
      <c r="BV65" s="715"/>
      <c r="BW65" s="715"/>
      <c r="BX65" s="715"/>
      <c r="BY65" s="715"/>
      <c r="BZ65" s="715"/>
      <c r="CA65" s="715"/>
      <c r="CB65" s="715"/>
      <c r="CC65" s="715"/>
      <c r="CD65" s="715"/>
      <c r="CE65" s="715"/>
      <c r="CF65" s="715"/>
      <c r="CG65" s="715"/>
      <c r="CH65" s="715"/>
      <c r="CI65" s="715"/>
      <c r="CJ65" s="715"/>
      <c r="CK65" s="715"/>
      <c r="CL65" s="715"/>
      <c r="CM65" s="715"/>
      <c r="CN65" s="715"/>
      <c r="CO65" s="715"/>
      <c r="CP65" s="715"/>
      <c r="CQ65" s="715"/>
      <c r="CR65" s="715"/>
      <c r="CS65" s="715"/>
      <c r="CT65" s="715"/>
      <c r="CU65" s="715"/>
      <c r="CV65" s="715"/>
      <c r="CW65" s="715"/>
      <c r="CX65" s="715"/>
      <c r="CY65" s="715"/>
      <c r="CZ65" s="715"/>
      <c r="DA65" s="715"/>
      <c r="DB65" s="715"/>
      <c r="DC65" s="715"/>
      <c r="DD65" s="715"/>
      <c r="DE65" s="715"/>
      <c r="DF65" s="715"/>
      <c r="DG65" s="715"/>
      <c r="DH65" s="715"/>
      <c r="DI65" s="715"/>
      <c r="DJ65" s="715"/>
      <c r="DK65" s="715"/>
      <c r="DL65" s="715"/>
      <c r="DM65" s="715"/>
      <c r="DN65" s="715"/>
      <c r="DO65" s="715"/>
      <c r="DP65" s="715"/>
      <c r="DQ65" s="715"/>
      <c r="DR65" s="715"/>
      <c r="DS65" s="715"/>
      <c r="DT65" s="715"/>
      <c r="DU65" s="715"/>
      <c r="DV65" s="715"/>
      <c r="DW65" s="715"/>
      <c r="DX65" s="715"/>
      <c r="DY65" s="715"/>
      <c r="DZ65" s="715"/>
      <c r="EA65" s="715"/>
      <c r="EB65" s="715"/>
      <c r="EC65" s="715"/>
      <c r="ED65" s="715"/>
      <c r="EE65" s="715"/>
      <c r="EF65" s="715"/>
      <c r="EG65" s="715"/>
    </row>
    <row r="66" spans="1:137" s="365" customFormat="1" ht="22.5" customHeight="1">
      <c r="A66" s="1247"/>
      <c r="B66" s="1188"/>
      <c r="C66" s="1171" t="s">
        <v>10</v>
      </c>
      <c r="D66" s="1162">
        <v>0</v>
      </c>
      <c r="E66" s="1232">
        <v>0</v>
      </c>
      <c r="F66" s="1232">
        <v>0</v>
      </c>
      <c r="G66" s="1152" t="e">
        <f t="shared" si="10"/>
        <v>#DIV/0!</v>
      </c>
      <c r="H66" s="1188"/>
      <c r="I66" s="1188"/>
      <c r="J66" s="1192"/>
      <c r="K66" s="1235"/>
      <c r="L66" s="1137"/>
      <c r="M66" s="1159"/>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5"/>
      <c r="AY66" s="715"/>
      <c r="AZ66" s="715"/>
      <c r="BA66" s="715"/>
      <c r="BB66" s="715"/>
      <c r="BC66" s="715"/>
      <c r="BD66" s="715"/>
      <c r="BE66" s="715"/>
      <c r="BF66" s="715"/>
      <c r="BG66" s="715"/>
      <c r="BH66" s="715"/>
      <c r="BI66" s="715"/>
      <c r="BJ66" s="715"/>
      <c r="BK66" s="715"/>
      <c r="BL66" s="715"/>
      <c r="BM66" s="715"/>
      <c r="BN66" s="715"/>
      <c r="BO66" s="715"/>
      <c r="BP66" s="715"/>
      <c r="BQ66" s="715"/>
      <c r="BR66" s="715"/>
      <c r="BS66" s="715"/>
      <c r="BT66" s="715"/>
      <c r="BU66" s="715"/>
      <c r="BV66" s="715"/>
      <c r="BW66" s="715"/>
      <c r="BX66" s="715"/>
      <c r="BY66" s="715"/>
      <c r="BZ66" s="715"/>
      <c r="CA66" s="715"/>
      <c r="CB66" s="715"/>
      <c r="CC66" s="715"/>
      <c r="CD66" s="715"/>
      <c r="CE66" s="715"/>
      <c r="CF66" s="715"/>
      <c r="CG66" s="715"/>
      <c r="CH66" s="715"/>
      <c r="CI66" s="715"/>
      <c r="CJ66" s="715"/>
      <c r="CK66" s="715"/>
      <c r="CL66" s="715"/>
      <c r="CM66" s="715"/>
      <c r="CN66" s="715"/>
      <c r="CO66" s="715"/>
      <c r="CP66" s="715"/>
      <c r="CQ66" s="715"/>
      <c r="CR66" s="715"/>
      <c r="CS66" s="715"/>
      <c r="CT66" s="715"/>
      <c r="CU66" s="715"/>
      <c r="CV66" s="715"/>
      <c r="CW66" s="715"/>
      <c r="CX66" s="715"/>
      <c r="CY66" s="715"/>
      <c r="CZ66" s="715"/>
      <c r="DA66" s="715"/>
      <c r="DB66" s="715"/>
      <c r="DC66" s="715"/>
      <c r="DD66" s="715"/>
      <c r="DE66" s="715"/>
      <c r="DF66" s="715"/>
      <c r="DG66" s="715"/>
      <c r="DH66" s="715"/>
      <c r="DI66" s="715"/>
      <c r="DJ66" s="715"/>
      <c r="DK66" s="715"/>
      <c r="DL66" s="715"/>
      <c r="DM66" s="715"/>
      <c r="DN66" s="715"/>
      <c r="DO66" s="715"/>
      <c r="DP66" s="715"/>
      <c r="DQ66" s="715"/>
      <c r="DR66" s="715"/>
      <c r="DS66" s="715"/>
      <c r="DT66" s="715"/>
      <c r="DU66" s="715"/>
      <c r="DV66" s="715"/>
      <c r="DW66" s="715"/>
      <c r="DX66" s="715"/>
      <c r="DY66" s="715"/>
      <c r="DZ66" s="715"/>
      <c r="EA66" s="715"/>
      <c r="EB66" s="715"/>
      <c r="EC66" s="715"/>
      <c r="ED66" s="715"/>
      <c r="EE66" s="715"/>
      <c r="EF66" s="715"/>
      <c r="EG66" s="715"/>
    </row>
    <row r="67" spans="1:137" s="365" customFormat="1" ht="24.75" customHeight="1">
      <c r="A67" s="1247"/>
      <c r="B67" s="1188"/>
      <c r="C67" s="1171" t="s">
        <v>11</v>
      </c>
      <c r="D67" s="1162">
        <v>0</v>
      </c>
      <c r="E67" s="1232">
        <v>0</v>
      </c>
      <c r="F67" s="1232">
        <v>0</v>
      </c>
      <c r="G67" s="1152" t="e">
        <f t="shared" si="10"/>
        <v>#DIV/0!</v>
      </c>
      <c r="H67" s="1188"/>
      <c r="I67" s="1188"/>
      <c r="J67" s="1192"/>
      <c r="K67" s="1235"/>
      <c r="L67" s="1137"/>
      <c r="M67" s="1159"/>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5"/>
      <c r="BJ67" s="715"/>
      <c r="BK67" s="715"/>
      <c r="BL67" s="715"/>
      <c r="BM67" s="715"/>
      <c r="BN67" s="715"/>
      <c r="BO67" s="715"/>
      <c r="BP67" s="715"/>
      <c r="BQ67" s="715"/>
      <c r="BR67" s="715"/>
      <c r="BS67" s="715"/>
      <c r="BT67" s="715"/>
      <c r="BU67" s="715"/>
      <c r="BV67" s="715"/>
      <c r="BW67" s="715"/>
      <c r="BX67" s="715"/>
      <c r="BY67" s="715"/>
      <c r="BZ67" s="715"/>
      <c r="CA67" s="715"/>
      <c r="CB67" s="715"/>
      <c r="CC67" s="715"/>
      <c r="CD67" s="715"/>
      <c r="CE67" s="715"/>
      <c r="CF67" s="715"/>
      <c r="CG67" s="715"/>
      <c r="CH67" s="715"/>
      <c r="CI67" s="715"/>
      <c r="CJ67" s="715"/>
      <c r="CK67" s="715"/>
      <c r="CL67" s="715"/>
      <c r="CM67" s="715"/>
      <c r="CN67" s="715"/>
      <c r="CO67" s="715"/>
      <c r="CP67" s="715"/>
      <c r="CQ67" s="715"/>
      <c r="CR67" s="715"/>
      <c r="CS67" s="715"/>
      <c r="CT67" s="715"/>
      <c r="CU67" s="715"/>
      <c r="CV67" s="715"/>
      <c r="CW67" s="715"/>
      <c r="CX67" s="715"/>
      <c r="CY67" s="715"/>
      <c r="CZ67" s="715"/>
      <c r="DA67" s="715"/>
      <c r="DB67" s="715"/>
      <c r="DC67" s="715"/>
      <c r="DD67" s="715"/>
      <c r="DE67" s="715"/>
      <c r="DF67" s="715"/>
      <c r="DG67" s="715"/>
      <c r="DH67" s="715"/>
      <c r="DI67" s="715"/>
      <c r="DJ67" s="715"/>
      <c r="DK67" s="715"/>
      <c r="DL67" s="715"/>
      <c r="DM67" s="715"/>
      <c r="DN67" s="715"/>
      <c r="DO67" s="715"/>
      <c r="DP67" s="715"/>
      <c r="DQ67" s="715"/>
      <c r="DR67" s="715"/>
      <c r="DS67" s="715"/>
      <c r="DT67" s="715"/>
      <c r="DU67" s="715"/>
      <c r="DV67" s="715"/>
      <c r="DW67" s="715"/>
      <c r="DX67" s="715"/>
      <c r="DY67" s="715"/>
      <c r="DZ67" s="715"/>
      <c r="EA67" s="715"/>
      <c r="EB67" s="715"/>
      <c r="EC67" s="715"/>
      <c r="ED67" s="715"/>
      <c r="EE67" s="715"/>
      <c r="EF67" s="715"/>
      <c r="EG67" s="715"/>
    </row>
    <row r="68" spans="1:137" s="365" customFormat="1" ht="21.75" customHeight="1">
      <c r="A68" s="1249"/>
      <c r="B68" s="1195"/>
      <c r="C68" s="1171" t="s">
        <v>12</v>
      </c>
      <c r="D68" s="1162">
        <v>0</v>
      </c>
      <c r="E68" s="1232">
        <v>0</v>
      </c>
      <c r="F68" s="1232">
        <v>0</v>
      </c>
      <c r="G68" s="1152" t="e">
        <f t="shared" si="10"/>
        <v>#DIV/0!</v>
      </c>
      <c r="H68" s="1195"/>
      <c r="I68" s="1195"/>
      <c r="J68" s="1250"/>
      <c r="K68" s="1242"/>
      <c r="L68" s="1137"/>
      <c r="M68" s="1159"/>
      <c r="N68" s="715"/>
      <c r="O68" s="715"/>
      <c r="P68" s="715"/>
      <c r="Q68" s="715"/>
      <c r="R68" s="715"/>
      <c r="S68" s="715"/>
      <c r="T68" s="715"/>
      <c r="U68" s="715"/>
      <c r="V68" s="715"/>
      <c r="W68" s="715"/>
      <c r="X68" s="715"/>
      <c r="Y68" s="715"/>
      <c r="Z68" s="715"/>
      <c r="AA68" s="715"/>
      <c r="AB68" s="715"/>
      <c r="AC68" s="715"/>
      <c r="AD68" s="715"/>
      <c r="AE68" s="715"/>
      <c r="AF68" s="715"/>
      <c r="AG68" s="715"/>
      <c r="AH68" s="715"/>
      <c r="AI68" s="715"/>
      <c r="AJ68" s="715"/>
      <c r="AK68" s="715"/>
      <c r="AL68" s="715"/>
      <c r="AM68" s="715"/>
      <c r="AN68" s="715"/>
      <c r="AO68" s="715"/>
      <c r="AP68" s="715"/>
      <c r="AQ68" s="715"/>
      <c r="AR68" s="715"/>
      <c r="AS68" s="715"/>
      <c r="AT68" s="715"/>
      <c r="AU68" s="715"/>
      <c r="AV68" s="715"/>
      <c r="AW68" s="715"/>
      <c r="AX68" s="715"/>
      <c r="AY68" s="715"/>
      <c r="AZ68" s="715"/>
      <c r="BA68" s="715"/>
      <c r="BB68" s="715"/>
      <c r="BC68" s="715"/>
      <c r="BD68" s="715"/>
      <c r="BE68" s="715"/>
      <c r="BF68" s="715"/>
      <c r="BG68" s="715"/>
      <c r="BH68" s="715"/>
      <c r="BI68" s="715"/>
      <c r="BJ68" s="715"/>
      <c r="BK68" s="715"/>
      <c r="BL68" s="715"/>
      <c r="BM68" s="715"/>
      <c r="BN68" s="715"/>
      <c r="BO68" s="715"/>
      <c r="BP68" s="715"/>
      <c r="BQ68" s="715"/>
      <c r="BR68" s="715"/>
      <c r="BS68" s="715"/>
      <c r="BT68" s="715"/>
      <c r="BU68" s="715"/>
      <c r="BV68" s="715"/>
      <c r="BW68" s="715"/>
      <c r="BX68" s="715"/>
      <c r="BY68" s="715"/>
      <c r="BZ68" s="715"/>
      <c r="CA68" s="715"/>
      <c r="CB68" s="715"/>
      <c r="CC68" s="715"/>
      <c r="CD68" s="715"/>
      <c r="CE68" s="715"/>
      <c r="CF68" s="715"/>
      <c r="CG68" s="715"/>
      <c r="CH68" s="715"/>
      <c r="CI68" s="715"/>
      <c r="CJ68" s="715"/>
      <c r="CK68" s="715"/>
      <c r="CL68" s="715"/>
      <c r="CM68" s="715"/>
      <c r="CN68" s="715"/>
      <c r="CO68" s="715"/>
      <c r="CP68" s="715"/>
      <c r="CQ68" s="715"/>
      <c r="CR68" s="715"/>
      <c r="CS68" s="715"/>
      <c r="CT68" s="715"/>
      <c r="CU68" s="715"/>
      <c r="CV68" s="715"/>
      <c r="CW68" s="715"/>
      <c r="CX68" s="715"/>
      <c r="CY68" s="715"/>
      <c r="CZ68" s="715"/>
      <c r="DA68" s="715"/>
      <c r="DB68" s="715"/>
      <c r="DC68" s="715"/>
      <c r="DD68" s="715"/>
      <c r="DE68" s="715"/>
      <c r="DF68" s="715"/>
      <c r="DG68" s="715"/>
      <c r="DH68" s="715"/>
      <c r="DI68" s="715"/>
      <c r="DJ68" s="715"/>
      <c r="DK68" s="715"/>
      <c r="DL68" s="715"/>
      <c r="DM68" s="715"/>
      <c r="DN68" s="715"/>
      <c r="DO68" s="715"/>
      <c r="DP68" s="715"/>
      <c r="DQ68" s="715"/>
      <c r="DR68" s="715"/>
      <c r="DS68" s="715"/>
      <c r="DT68" s="715"/>
      <c r="DU68" s="715"/>
      <c r="DV68" s="715"/>
      <c r="DW68" s="715"/>
      <c r="DX68" s="715"/>
      <c r="DY68" s="715"/>
      <c r="DZ68" s="715"/>
      <c r="EA68" s="715"/>
      <c r="EB68" s="715"/>
      <c r="EC68" s="715"/>
      <c r="ED68" s="715"/>
      <c r="EE68" s="715"/>
      <c r="EF68" s="715"/>
      <c r="EG68" s="715"/>
    </row>
    <row r="69" spans="1:137" s="365" customFormat="1" ht="27" customHeight="1">
      <c r="A69" s="1244" t="s">
        <v>2905</v>
      </c>
      <c r="B69" s="1179" t="s">
        <v>2897</v>
      </c>
      <c r="C69" s="1238" t="s">
        <v>8</v>
      </c>
      <c r="D69" s="1162">
        <v>33359.300000000003</v>
      </c>
      <c r="E69" s="1232">
        <f>SUM(E70:E73)</f>
        <v>33185.938999999998</v>
      </c>
      <c r="F69" s="1232">
        <v>33185.9</v>
      </c>
      <c r="G69" s="1152">
        <f t="shared" si="10"/>
        <v>0.99480204920367032</v>
      </c>
      <c r="H69" s="1179" t="s">
        <v>2962</v>
      </c>
      <c r="I69" s="1179" t="s">
        <v>2963</v>
      </c>
      <c r="J69" s="1185" t="s">
        <v>2955</v>
      </c>
      <c r="K69" s="1231" t="s">
        <v>2813</v>
      </c>
      <c r="L69" s="1136"/>
      <c r="M69" s="1156">
        <v>823</v>
      </c>
      <c r="N69" s="715"/>
      <c r="O69" s="715"/>
      <c r="P69" s="715"/>
      <c r="Q69" s="715"/>
      <c r="R69" s="715"/>
      <c r="S69" s="715"/>
      <c r="T69" s="715"/>
      <c r="U69" s="715"/>
      <c r="V69" s="715"/>
      <c r="W69" s="715"/>
      <c r="X69" s="715"/>
      <c r="Y69" s="715"/>
      <c r="Z69" s="715"/>
      <c r="AA69" s="715"/>
      <c r="AB69" s="715"/>
      <c r="AC69" s="715"/>
      <c r="AD69" s="715"/>
      <c r="AE69" s="715"/>
      <c r="AF69" s="715"/>
      <c r="AG69" s="715"/>
      <c r="AH69" s="715"/>
      <c r="AI69" s="715"/>
      <c r="AJ69" s="715"/>
      <c r="AK69" s="715"/>
      <c r="AL69" s="715"/>
      <c r="AM69" s="715"/>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5"/>
      <c r="BJ69" s="715"/>
      <c r="BK69" s="715"/>
      <c r="BL69" s="715"/>
      <c r="BM69" s="715"/>
      <c r="BN69" s="715"/>
      <c r="BO69" s="715"/>
      <c r="BP69" s="715"/>
      <c r="BQ69" s="715"/>
      <c r="BR69" s="715"/>
      <c r="BS69" s="715"/>
      <c r="BT69" s="715"/>
      <c r="BU69" s="715"/>
      <c r="BV69" s="715"/>
      <c r="BW69" s="715"/>
      <c r="BX69" s="715"/>
      <c r="BY69" s="715"/>
      <c r="BZ69" s="715"/>
      <c r="CA69" s="715"/>
      <c r="CB69" s="715"/>
      <c r="CC69" s="715"/>
      <c r="CD69" s="715"/>
      <c r="CE69" s="715"/>
      <c r="CF69" s="715"/>
      <c r="CG69" s="715"/>
      <c r="CH69" s="715"/>
      <c r="CI69" s="715"/>
      <c r="CJ69" s="715"/>
      <c r="CK69" s="715"/>
      <c r="CL69" s="715"/>
      <c r="CM69" s="715"/>
      <c r="CN69" s="715"/>
      <c r="CO69" s="715"/>
      <c r="CP69" s="715"/>
      <c r="CQ69" s="715"/>
      <c r="CR69" s="715"/>
      <c r="CS69" s="715"/>
      <c r="CT69" s="715"/>
      <c r="CU69" s="715"/>
      <c r="CV69" s="715"/>
      <c r="CW69" s="715"/>
      <c r="CX69" s="715"/>
      <c r="CY69" s="715"/>
      <c r="CZ69" s="715"/>
      <c r="DA69" s="715"/>
      <c r="DB69" s="715"/>
      <c r="DC69" s="715"/>
      <c r="DD69" s="715"/>
      <c r="DE69" s="715"/>
      <c r="DF69" s="715"/>
      <c r="DG69" s="715"/>
      <c r="DH69" s="715"/>
      <c r="DI69" s="715"/>
      <c r="DJ69" s="715"/>
      <c r="DK69" s="715"/>
      <c r="DL69" s="715"/>
      <c r="DM69" s="715"/>
      <c r="DN69" s="715"/>
      <c r="DO69" s="715"/>
      <c r="DP69" s="715"/>
      <c r="DQ69" s="715"/>
      <c r="DR69" s="715"/>
      <c r="DS69" s="715"/>
      <c r="DT69" s="715"/>
      <c r="DU69" s="715"/>
      <c r="DV69" s="715"/>
      <c r="DW69" s="715"/>
      <c r="DX69" s="715"/>
      <c r="DY69" s="715"/>
      <c r="DZ69" s="715"/>
      <c r="EA69" s="715"/>
      <c r="EB69" s="715"/>
      <c r="EC69" s="715"/>
      <c r="ED69" s="715"/>
      <c r="EE69" s="715"/>
      <c r="EF69" s="715"/>
      <c r="EG69" s="715"/>
    </row>
    <row r="70" spans="1:137" s="365" customFormat="1" ht="24" customHeight="1">
      <c r="A70" s="1247"/>
      <c r="B70" s="1188"/>
      <c r="C70" s="1171" t="s">
        <v>9</v>
      </c>
      <c r="D70" s="1162">
        <v>33359.300000000003</v>
      </c>
      <c r="E70" s="1232">
        <v>33185.938999999998</v>
      </c>
      <c r="F70" s="1232">
        <v>33185.938999999998</v>
      </c>
      <c r="G70" s="1152">
        <f t="shared" si="10"/>
        <v>0.99480321829294971</v>
      </c>
      <c r="H70" s="1188"/>
      <c r="I70" s="1188"/>
      <c r="J70" s="1192"/>
      <c r="K70" s="1235"/>
      <c r="L70" s="1141"/>
      <c r="M70" s="1159"/>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c r="AK70" s="715"/>
      <c r="AL70" s="715"/>
      <c r="AM70" s="715"/>
      <c r="AN70" s="715"/>
      <c r="AO70" s="715"/>
      <c r="AP70" s="715"/>
      <c r="AQ70" s="715"/>
      <c r="AR70" s="715"/>
      <c r="AS70" s="715"/>
      <c r="AT70" s="715"/>
      <c r="AU70" s="715"/>
      <c r="AV70" s="715"/>
      <c r="AW70" s="715"/>
      <c r="AX70" s="715"/>
      <c r="AY70" s="715"/>
      <c r="AZ70" s="715"/>
      <c r="BA70" s="715"/>
      <c r="BB70" s="715"/>
      <c r="BC70" s="715"/>
      <c r="BD70" s="715"/>
      <c r="BE70" s="715"/>
      <c r="BF70" s="715"/>
      <c r="BG70" s="715"/>
      <c r="BH70" s="715"/>
      <c r="BI70" s="715"/>
      <c r="BJ70" s="715"/>
      <c r="BK70" s="715"/>
      <c r="BL70" s="715"/>
      <c r="BM70" s="715"/>
      <c r="BN70" s="715"/>
      <c r="BO70" s="715"/>
      <c r="BP70" s="715"/>
      <c r="BQ70" s="715"/>
      <c r="BR70" s="715"/>
      <c r="BS70" s="715"/>
      <c r="BT70" s="715"/>
      <c r="BU70" s="715"/>
      <c r="BV70" s="715"/>
      <c r="BW70" s="715"/>
      <c r="BX70" s="715"/>
      <c r="BY70" s="715"/>
      <c r="BZ70" s="715"/>
      <c r="CA70" s="715"/>
      <c r="CB70" s="715"/>
      <c r="CC70" s="715"/>
      <c r="CD70" s="715"/>
      <c r="CE70" s="715"/>
      <c r="CF70" s="715"/>
      <c r="CG70" s="715"/>
      <c r="CH70" s="715"/>
      <c r="CI70" s="715"/>
      <c r="CJ70" s="715"/>
      <c r="CK70" s="715"/>
      <c r="CL70" s="715"/>
      <c r="CM70" s="715"/>
      <c r="CN70" s="715"/>
      <c r="CO70" s="715"/>
      <c r="CP70" s="715"/>
      <c r="CQ70" s="715"/>
      <c r="CR70" s="715"/>
      <c r="CS70" s="715"/>
      <c r="CT70" s="715"/>
      <c r="CU70" s="715"/>
      <c r="CV70" s="715"/>
      <c r="CW70" s="715"/>
      <c r="CX70" s="715"/>
      <c r="CY70" s="715"/>
      <c r="CZ70" s="715"/>
      <c r="DA70" s="715"/>
      <c r="DB70" s="715"/>
      <c r="DC70" s="715"/>
      <c r="DD70" s="715"/>
      <c r="DE70" s="715"/>
      <c r="DF70" s="715"/>
      <c r="DG70" s="715"/>
      <c r="DH70" s="715"/>
      <c r="DI70" s="715"/>
      <c r="DJ70" s="715"/>
      <c r="DK70" s="715"/>
      <c r="DL70" s="715"/>
      <c r="DM70" s="715"/>
      <c r="DN70" s="715"/>
      <c r="DO70" s="715"/>
      <c r="DP70" s="715"/>
      <c r="DQ70" s="715"/>
      <c r="DR70" s="715"/>
      <c r="DS70" s="715"/>
      <c r="DT70" s="715"/>
      <c r="DU70" s="715"/>
      <c r="DV70" s="715"/>
      <c r="DW70" s="715"/>
      <c r="DX70" s="715"/>
      <c r="DY70" s="715"/>
      <c r="DZ70" s="715"/>
      <c r="EA70" s="715"/>
      <c r="EB70" s="715"/>
      <c r="EC70" s="715"/>
      <c r="ED70" s="715"/>
      <c r="EE70" s="715"/>
      <c r="EF70" s="715"/>
      <c r="EG70" s="715"/>
    </row>
    <row r="71" spans="1:137" s="365" customFormat="1" ht="23.25" customHeight="1">
      <c r="A71" s="1247"/>
      <c r="B71" s="1188"/>
      <c r="C71" s="1171" t="s">
        <v>10</v>
      </c>
      <c r="D71" s="1162">
        <v>0</v>
      </c>
      <c r="E71" s="1232">
        <v>0</v>
      </c>
      <c r="F71" s="1232">
        <v>0</v>
      </c>
      <c r="G71" s="1152" t="e">
        <f t="shared" si="10"/>
        <v>#DIV/0!</v>
      </c>
      <c r="H71" s="1188"/>
      <c r="I71" s="1188"/>
      <c r="J71" s="1192"/>
      <c r="K71" s="1235"/>
      <c r="L71" s="1141"/>
      <c r="M71" s="1159"/>
      <c r="N71" s="715"/>
      <c r="O71" s="715"/>
      <c r="P71" s="715"/>
      <c r="Q71" s="715"/>
      <c r="R71" s="715"/>
      <c r="S71" s="715"/>
      <c r="T71" s="715"/>
      <c r="U71" s="715"/>
      <c r="V71" s="715"/>
      <c r="W71" s="715"/>
      <c r="X71" s="715"/>
      <c r="Y71" s="715"/>
      <c r="Z71" s="715"/>
      <c r="AA71" s="715"/>
      <c r="AB71" s="715"/>
      <c r="AC71" s="715"/>
      <c r="AD71" s="715"/>
      <c r="AE71" s="715"/>
      <c r="AF71" s="715"/>
      <c r="AG71" s="715"/>
      <c r="AH71" s="715"/>
      <c r="AI71" s="715"/>
      <c r="AJ71" s="715"/>
      <c r="AK71" s="715"/>
      <c r="AL71" s="715"/>
      <c r="AM71" s="715"/>
      <c r="AN71" s="715"/>
      <c r="AO71" s="715"/>
      <c r="AP71" s="715"/>
      <c r="AQ71" s="715"/>
      <c r="AR71" s="715"/>
      <c r="AS71" s="715"/>
      <c r="AT71" s="715"/>
      <c r="AU71" s="715"/>
      <c r="AV71" s="715"/>
      <c r="AW71" s="715"/>
      <c r="AX71" s="715"/>
      <c r="AY71" s="715"/>
      <c r="AZ71" s="715"/>
      <c r="BA71" s="715"/>
      <c r="BB71" s="715"/>
      <c r="BC71" s="715"/>
      <c r="BD71" s="715"/>
      <c r="BE71" s="715"/>
      <c r="BF71" s="715"/>
      <c r="BG71" s="715"/>
      <c r="BH71" s="715"/>
      <c r="BI71" s="715"/>
      <c r="BJ71" s="715"/>
      <c r="BK71" s="715"/>
      <c r="BL71" s="715"/>
      <c r="BM71" s="715"/>
      <c r="BN71" s="715"/>
      <c r="BO71" s="715"/>
      <c r="BP71" s="715"/>
      <c r="BQ71" s="715"/>
      <c r="BR71" s="715"/>
      <c r="BS71" s="715"/>
      <c r="BT71" s="715"/>
      <c r="BU71" s="715"/>
      <c r="BV71" s="715"/>
      <c r="BW71" s="715"/>
      <c r="BX71" s="715"/>
      <c r="BY71" s="715"/>
      <c r="BZ71" s="715"/>
      <c r="CA71" s="715"/>
      <c r="CB71" s="715"/>
      <c r="CC71" s="715"/>
      <c r="CD71" s="715"/>
      <c r="CE71" s="715"/>
      <c r="CF71" s="715"/>
      <c r="CG71" s="715"/>
      <c r="CH71" s="715"/>
      <c r="CI71" s="715"/>
      <c r="CJ71" s="715"/>
      <c r="CK71" s="715"/>
      <c r="CL71" s="715"/>
      <c r="CM71" s="715"/>
      <c r="CN71" s="715"/>
      <c r="CO71" s="715"/>
      <c r="CP71" s="715"/>
      <c r="CQ71" s="715"/>
      <c r="CR71" s="715"/>
      <c r="CS71" s="715"/>
      <c r="CT71" s="715"/>
      <c r="CU71" s="715"/>
      <c r="CV71" s="715"/>
      <c r="CW71" s="715"/>
      <c r="CX71" s="715"/>
      <c r="CY71" s="715"/>
      <c r="CZ71" s="715"/>
      <c r="DA71" s="715"/>
      <c r="DB71" s="715"/>
      <c r="DC71" s="715"/>
      <c r="DD71" s="715"/>
      <c r="DE71" s="715"/>
      <c r="DF71" s="715"/>
      <c r="DG71" s="715"/>
      <c r="DH71" s="715"/>
      <c r="DI71" s="715"/>
      <c r="DJ71" s="715"/>
      <c r="DK71" s="715"/>
      <c r="DL71" s="715"/>
      <c r="DM71" s="715"/>
      <c r="DN71" s="715"/>
      <c r="DO71" s="715"/>
      <c r="DP71" s="715"/>
      <c r="DQ71" s="715"/>
      <c r="DR71" s="715"/>
      <c r="DS71" s="715"/>
      <c r="DT71" s="715"/>
      <c r="DU71" s="715"/>
      <c r="DV71" s="715"/>
      <c r="DW71" s="715"/>
      <c r="DX71" s="715"/>
      <c r="DY71" s="715"/>
      <c r="DZ71" s="715"/>
      <c r="EA71" s="715"/>
      <c r="EB71" s="715"/>
      <c r="EC71" s="715"/>
      <c r="ED71" s="715"/>
      <c r="EE71" s="715"/>
      <c r="EF71" s="715"/>
      <c r="EG71" s="715"/>
    </row>
    <row r="72" spans="1:137" s="365" customFormat="1" ht="22.5" customHeight="1">
      <c r="A72" s="1247"/>
      <c r="B72" s="1188"/>
      <c r="C72" s="1171" t="s">
        <v>11</v>
      </c>
      <c r="D72" s="1162">
        <v>0</v>
      </c>
      <c r="E72" s="1232">
        <v>0</v>
      </c>
      <c r="F72" s="1232">
        <v>0</v>
      </c>
      <c r="G72" s="1152" t="e">
        <f t="shared" si="10"/>
        <v>#DIV/0!</v>
      </c>
      <c r="H72" s="1188"/>
      <c r="I72" s="1188"/>
      <c r="J72" s="1192"/>
      <c r="K72" s="1235"/>
      <c r="L72" s="1141"/>
      <c r="M72" s="1159"/>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5"/>
      <c r="AY72" s="715"/>
      <c r="AZ72" s="715"/>
      <c r="BA72" s="715"/>
      <c r="BB72" s="715"/>
      <c r="BC72" s="715"/>
      <c r="BD72" s="715"/>
      <c r="BE72" s="715"/>
      <c r="BF72" s="715"/>
      <c r="BG72" s="715"/>
      <c r="BH72" s="715"/>
      <c r="BI72" s="715"/>
      <c r="BJ72" s="715"/>
      <c r="BK72" s="715"/>
      <c r="BL72" s="715"/>
      <c r="BM72" s="715"/>
      <c r="BN72" s="715"/>
      <c r="BO72" s="715"/>
      <c r="BP72" s="715"/>
      <c r="BQ72" s="715"/>
      <c r="BR72" s="715"/>
      <c r="BS72" s="715"/>
      <c r="BT72" s="715"/>
      <c r="BU72" s="715"/>
      <c r="BV72" s="715"/>
      <c r="BW72" s="715"/>
      <c r="BX72" s="715"/>
      <c r="BY72" s="715"/>
      <c r="BZ72" s="715"/>
      <c r="CA72" s="715"/>
      <c r="CB72" s="715"/>
      <c r="CC72" s="715"/>
      <c r="CD72" s="715"/>
      <c r="CE72" s="715"/>
      <c r="CF72" s="715"/>
      <c r="CG72" s="715"/>
      <c r="CH72" s="715"/>
      <c r="CI72" s="715"/>
      <c r="CJ72" s="715"/>
      <c r="CK72" s="715"/>
      <c r="CL72" s="715"/>
      <c r="CM72" s="715"/>
      <c r="CN72" s="715"/>
      <c r="CO72" s="715"/>
      <c r="CP72" s="715"/>
      <c r="CQ72" s="715"/>
      <c r="CR72" s="715"/>
      <c r="CS72" s="715"/>
      <c r="CT72" s="715"/>
      <c r="CU72" s="715"/>
      <c r="CV72" s="715"/>
      <c r="CW72" s="715"/>
      <c r="CX72" s="715"/>
      <c r="CY72" s="715"/>
      <c r="CZ72" s="715"/>
      <c r="DA72" s="715"/>
      <c r="DB72" s="715"/>
      <c r="DC72" s="715"/>
      <c r="DD72" s="715"/>
      <c r="DE72" s="715"/>
      <c r="DF72" s="715"/>
      <c r="DG72" s="715"/>
      <c r="DH72" s="715"/>
      <c r="DI72" s="715"/>
      <c r="DJ72" s="715"/>
      <c r="DK72" s="715"/>
      <c r="DL72" s="715"/>
      <c r="DM72" s="715"/>
      <c r="DN72" s="715"/>
      <c r="DO72" s="715"/>
      <c r="DP72" s="715"/>
      <c r="DQ72" s="715"/>
      <c r="DR72" s="715"/>
      <c r="DS72" s="715"/>
      <c r="DT72" s="715"/>
      <c r="DU72" s="715"/>
      <c r="DV72" s="715"/>
      <c r="DW72" s="715"/>
      <c r="DX72" s="715"/>
      <c r="DY72" s="715"/>
      <c r="DZ72" s="715"/>
      <c r="EA72" s="715"/>
      <c r="EB72" s="715"/>
      <c r="EC72" s="715"/>
      <c r="ED72" s="715"/>
      <c r="EE72" s="715"/>
      <c r="EF72" s="715"/>
      <c r="EG72" s="715"/>
    </row>
    <row r="73" spans="1:137" s="365" customFormat="1" ht="21.75" customHeight="1">
      <c r="A73" s="1249"/>
      <c r="B73" s="1195"/>
      <c r="C73" s="1171" t="s">
        <v>12</v>
      </c>
      <c r="D73" s="1162">
        <v>0</v>
      </c>
      <c r="E73" s="1232">
        <v>0</v>
      </c>
      <c r="F73" s="1232">
        <v>0</v>
      </c>
      <c r="G73" s="1152" t="e">
        <f t="shared" si="10"/>
        <v>#DIV/0!</v>
      </c>
      <c r="H73" s="1195"/>
      <c r="I73" s="1195"/>
      <c r="J73" s="1250"/>
      <c r="K73" s="1242"/>
      <c r="L73" s="1147"/>
      <c r="M73" s="1159"/>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715"/>
      <c r="AK73" s="715"/>
      <c r="AL73" s="715"/>
      <c r="AM73" s="715"/>
      <c r="AN73" s="715"/>
      <c r="AO73" s="715"/>
      <c r="AP73" s="715"/>
      <c r="AQ73" s="715"/>
      <c r="AR73" s="715"/>
      <c r="AS73" s="715"/>
      <c r="AT73" s="715"/>
      <c r="AU73" s="715"/>
      <c r="AV73" s="715"/>
      <c r="AW73" s="715"/>
      <c r="AX73" s="715"/>
      <c r="AY73" s="715"/>
      <c r="AZ73" s="715"/>
      <c r="BA73" s="715"/>
      <c r="BB73" s="715"/>
      <c r="BC73" s="715"/>
      <c r="BD73" s="715"/>
      <c r="BE73" s="715"/>
      <c r="BF73" s="715"/>
      <c r="BG73" s="715"/>
      <c r="BH73" s="715"/>
      <c r="BI73" s="715"/>
      <c r="BJ73" s="715"/>
      <c r="BK73" s="715"/>
      <c r="BL73" s="715"/>
      <c r="BM73" s="715"/>
      <c r="BN73" s="715"/>
      <c r="BO73" s="715"/>
      <c r="BP73" s="715"/>
      <c r="BQ73" s="715"/>
      <c r="BR73" s="715"/>
      <c r="BS73" s="715"/>
      <c r="BT73" s="715"/>
      <c r="BU73" s="715"/>
      <c r="BV73" s="715"/>
      <c r="BW73" s="715"/>
      <c r="BX73" s="715"/>
      <c r="BY73" s="715"/>
      <c r="BZ73" s="715"/>
      <c r="CA73" s="715"/>
      <c r="CB73" s="715"/>
      <c r="CC73" s="715"/>
      <c r="CD73" s="715"/>
      <c r="CE73" s="715"/>
      <c r="CF73" s="715"/>
      <c r="CG73" s="715"/>
      <c r="CH73" s="715"/>
      <c r="CI73" s="715"/>
      <c r="CJ73" s="715"/>
      <c r="CK73" s="715"/>
      <c r="CL73" s="715"/>
      <c r="CM73" s="715"/>
      <c r="CN73" s="715"/>
      <c r="CO73" s="715"/>
      <c r="CP73" s="715"/>
      <c r="CQ73" s="715"/>
      <c r="CR73" s="715"/>
      <c r="CS73" s="715"/>
      <c r="CT73" s="715"/>
      <c r="CU73" s="715"/>
      <c r="CV73" s="715"/>
      <c r="CW73" s="715"/>
      <c r="CX73" s="715"/>
      <c r="CY73" s="715"/>
      <c r="CZ73" s="715"/>
      <c r="DA73" s="715"/>
      <c r="DB73" s="715"/>
      <c r="DC73" s="715"/>
      <c r="DD73" s="715"/>
      <c r="DE73" s="715"/>
      <c r="DF73" s="715"/>
      <c r="DG73" s="715"/>
      <c r="DH73" s="715"/>
      <c r="DI73" s="715"/>
      <c r="DJ73" s="715"/>
      <c r="DK73" s="715"/>
      <c r="DL73" s="715"/>
      <c r="DM73" s="715"/>
      <c r="DN73" s="715"/>
      <c r="DO73" s="715"/>
      <c r="DP73" s="715"/>
      <c r="DQ73" s="715"/>
      <c r="DR73" s="715"/>
      <c r="DS73" s="715"/>
      <c r="DT73" s="715"/>
      <c r="DU73" s="715"/>
      <c r="DV73" s="715"/>
      <c r="DW73" s="715"/>
      <c r="DX73" s="715"/>
      <c r="DY73" s="715"/>
      <c r="DZ73" s="715"/>
      <c r="EA73" s="715"/>
      <c r="EB73" s="715"/>
      <c r="EC73" s="715"/>
      <c r="ED73" s="715"/>
      <c r="EE73" s="715"/>
      <c r="EF73" s="715"/>
      <c r="EG73" s="715"/>
    </row>
    <row r="74" spans="1:137" s="364" customFormat="1">
      <c r="A74" s="1178" t="s">
        <v>2857</v>
      </c>
      <c r="B74" s="1252" t="s">
        <v>633</v>
      </c>
      <c r="C74" s="742" t="s">
        <v>8</v>
      </c>
      <c r="D74" s="1229">
        <f>SUM(D75:D78)</f>
        <v>9977.7360000000008</v>
      </c>
      <c r="E74" s="1229">
        <f>SUM(E75:E78)</f>
        <v>9977.3129999999983</v>
      </c>
      <c r="F74" s="1229">
        <f>SUM(F75:F78)</f>
        <v>9977.3129999999983</v>
      </c>
      <c r="G74" s="1152">
        <f t="shared" ref="G74:G76" si="11">F74/D74</f>
        <v>0.99995760561313685</v>
      </c>
      <c r="H74" s="1253" t="s">
        <v>2826</v>
      </c>
      <c r="I74" s="1154" t="s">
        <v>268</v>
      </c>
      <c r="J74" s="1191">
        <v>3</v>
      </c>
      <c r="K74" s="1136" t="s">
        <v>2812</v>
      </c>
      <c r="L74" s="1199"/>
      <c r="M74" s="1156">
        <v>823</v>
      </c>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row>
    <row r="75" spans="1:137" s="364" customFormat="1">
      <c r="A75" s="1187"/>
      <c r="B75" s="1254"/>
      <c r="C75" s="742" t="s">
        <v>9</v>
      </c>
      <c r="D75" s="1213">
        <v>7610.259</v>
      </c>
      <c r="E75" s="1213">
        <f>SUM(E80,E85,E90)</f>
        <v>7609.8359999999993</v>
      </c>
      <c r="F75" s="1213">
        <f>SUM(F80,F85,F90)</f>
        <v>7609.8359999999993</v>
      </c>
      <c r="G75" s="1152">
        <f t="shared" si="11"/>
        <v>0.99994441713481752</v>
      </c>
      <c r="H75" s="1255"/>
      <c r="I75" s="1154" t="s">
        <v>269</v>
      </c>
      <c r="J75" s="1191">
        <v>3</v>
      </c>
      <c r="K75" s="1141"/>
      <c r="L75" s="1202"/>
      <c r="M75" s="1159"/>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row>
    <row r="76" spans="1:137" s="364" customFormat="1">
      <c r="A76" s="1187"/>
      <c r="B76" s="1254"/>
      <c r="C76" s="742" t="s">
        <v>10</v>
      </c>
      <c r="D76" s="1213">
        <v>2367.4769999999999</v>
      </c>
      <c r="E76" s="1213">
        <f>SUM(E81,E86,E91)</f>
        <v>2367.4769999999999</v>
      </c>
      <c r="F76" s="1213">
        <f>SUM(F81,F91,F86)</f>
        <v>2367.4769999999999</v>
      </c>
      <c r="G76" s="1152">
        <f t="shared" si="11"/>
        <v>1</v>
      </c>
      <c r="H76" s="1255"/>
      <c r="I76" s="1154" t="s">
        <v>270</v>
      </c>
      <c r="J76" s="1191">
        <v>0</v>
      </c>
      <c r="K76" s="1141"/>
      <c r="L76" s="1202"/>
      <c r="M76" s="1159"/>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row>
    <row r="77" spans="1:137" s="364" customFormat="1">
      <c r="A77" s="1187"/>
      <c r="B77" s="1254"/>
      <c r="C77" s="742" t="s">
        <v>11</v>
      </c>
      <c r="D77" s="1213">
        <v>0</v>
      </c>
      <c r="E77" s="1213">
        <v>0</v>
      </c>
      <c r="F77" s="1213">
        <v>0</v>
      </c>
      <c r="G77" s="1152">
        <v>0</v>
      </c>
      <c r="H77" s="1255"/>
      <c r="I77" s="1154" t="s">
        <v>271</v>
      </c>
      <c r="J77" s="1191">
        <v>0</v>
      </c>
      <c r="K77" s="1141"/>
      <c r="L77" s="1202"/>
      <c r="M77" s="1159"/>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row>
    <row r="78" spans="1:137" s="364" customFormat="1">
      <c r="A78" s="1194"/>
      <c r="B78" s="1256"/>
      <c r="C78" s="742" t="s">
        <v>12</v>
      </c>
      <c r="D78" s="1213">
        <v>0</v>
      </c>
      <c r="E78" s="1213">
        <v>0</v>
      </c>
      <c r="F78" s="1213">
        <v>0</v>
      </c>
      <c r="G78" s="1152">
        <v>0</v>
      </c>
      <c r="H78" s="1257"/>
      <c r="I78" s="1154" t="s">
        <v>272</v>
      </c>
      <c r="J78" s="1258">
        <f>(J75+0.5*J76)/J74</f>
        <v>1</v>
      </c>
      <c r="K78" s="1141"/>
      <c r="L78" s="1202"/>
      <c r="M78" s="1165"/>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row>
    <row r="79" spans="1:137" s="365" customFormat="1" ht="15" customHeight="1">
      <c r="A79" s="1169" t="s">
        <v>2858</v>
      </c>
      <c r="B79" s="1259" t="s">
        <v>670</v>
      </c>
      <c r="C79" s="1171" t="s">
        <v>8</v>
      </c>
      <c r="D79" s="1229">
        <v>2518.8289999999997</v>
      </c>
      <c r="E79" s="1229">
        <f>SUM(E80:E83)</f>
        <v>2518.5919999999996</v>
      </c>
      <c r="F79" s="1229">
        <f>SUM(F80:F83)</f>
        <v>2518.5919999999996</v>
      </c>
      <c r="G79" s="1152">
        <f t="shared" ref="G79" si="12">F79/D79</f>
        <v>0.99990590865834872</v>
      </c>
      <c r="H79" s="1230" t="s">
        <v>2965</v>
      </c>
      <c r="I79" s="1230" t="s">
        <v>3089</v>
      </c>
      <c r="J79" s="1260" t="s">
        <v>2955</v>
      </c>
      <c r="K79" s="1231" t="s">
        <v>2812</v>
      </c>
      <c r="L79" s="1207"/>
      <c r="M79" s="1156">
        <v>823</v>
      </c>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715"/>
      <c r="AQ79" s="715"/>
      <c r="AR79" s="715"/>
      <c r="AS79" s="715"/>
      <c r="AT79" s="715"/>
      <c r="AU79" s="715"/>
      <c r="AV79" s="715"/>
      <c r="AW79" s="715"/>
      <c r="AX79" s="715"/>
      <c r="AY79" s="715"/>
      <c r="AZ79" s="715"/>
      <c r="BA79" s="715"/>
      <c r="BB79" s="715"/>
      <c r="BC79" s="715"/>
      <c r="BD79" s="715"/>
      <c r="BE79" s="715"/>
      <c r="BF79" s="715"/>
      <c r="BG79" s="715"/>
      <c r="BH79" s="715"/>
      <c r="BI79" s="715"/>
      <c r="BJ79" s="715"/>
      <c r="BK79" s="715"/>
      <c r="BL79" s="715"/>
      <c r="BM79" s="715"/>
      <c r="BN79" s="715"/>
      <c r="BO79" s="715"/>
      <c r="BP79" s="715"/>
      <c r="BQ79" s="715"/>
      <c r="BR79" s="715"/>
      <c r="BS79" s="715"/>
      <c r="BT79" s="715"/>
      <c r="BU79" s="715"/>
      <c r="BV79" s="715"/>
      <c r="BW79" s="715"/>
      <c r="BX79" s="715"/>
      <c r="BY79" s="715"/>
      <c r="BZ79" s="715"/>
      <c r="CA79" s="715"/>
      <c r="CB79" s="715"/>
      <c r="CC79" s="715"/>
      <c r="CD79" s="715"/>
      <c r="CE79" s="715"/>
      <c r="CF79" s="715"/>
      <c r="CG79" s="715"/>
      <c r="CH79" s="715"/>
      <c r="CI79" s="715"/>
      <c r="CJ79" s="715"/>
      <c r="CK79" s="715"/>
      <c r="CL79" s="715"/>
      <c r="CM79" s="715"/>
      <c r="CN79" s="715"/>
      <c r="CO79" s="715"/>
      <c r="CP79" s="715"/>
      <c r="CQ79" s="715"/>
      <c r="CR79" s="715"/>
      <c r="CS79" s="715"/>
      <c r="CT79" s="715"/>
      <c r="CU79" s="715"/>
      <c r="CV79" s="715"/>
      <c r="CW79" s="715"/>
      <c r="CX79" s="715"/>
      <c r="CY79" s="715"/>
      <c r="CZ79" s="715"/>
      <c r="DA79" s="715"/>
      <c r="DB79" s="715"/>
      <c r="DC79" s="715"/>
      <c r="DD79" s="715"/>
      <c r="DE79" s="715"/>
      <c r="DF79" s="715"/>
      <c r="DG79" s="715"/>
      <c r="DH79" s="715"/>
      <c r="DI79" s="715"/>
      <c r="DJ79" s="715"/>
      <c r="DK79" s="715"/>
      <c r="DL79" s="715"/>
      <c r="DM79" s="715"/>
      <c r="DN79" s="715"/>
      <c r="DO79" s="715"/>
      <c r="DP79" s="715"/>
      <c r="DQ79" s="715"/>
      <c r="DR79" s="715"/>
      <c r="DS79" s="715"/>
      <c r="DT79" s="715"/>
      <c r="DU79" s="715"/>
      <c r="DV79" s="715"/>
      <c r="DW79" s="715"/>
      <c r="DX79" s="715"/>
      <c r="DY79" s="715"/>
      <c r="DZ79" s="715"/>
      <c r="EA79" s="715"/>
      <c r="EB79" s="715"/>
      <c r="EC79" s="715"/>
      <c r="ED79" s="715"/>
      <c r="EE79" s="715"/>
      <c r="EF79" s="715"/>
      <c r="EG79" s="715"/>
    </row>
    <row r="80" spans="1:137" s="365" customFormat="1" ht="15">
      <c r="A80" s="1173"/>
      <c r="B80" s="1261"/>
      <c r="C80" s="1171" t="s">
        <v>9</v>
      </c>
      <c r="D80" s="1213">
        <v>151.11500000000001</v>
      </c>
      <c r="E80" s="1262">
        <v>151.11500000000001</v>
      </c>
      <c r="F80" s="1213">
        <v>151.11500000000001</v>
      </c>
      <c r="G80" s="1152">
        <f>F80/D80</f>
        <v>1</v>
      </c>
      <c r="H80" s="1233"/>
      <c r="I80" s="1233"/>
      <c r="J80" s="1263"/>
      <c r="K80" s="1235"/>
      <c r="L80" s="1234"/>
      <c r="M80" s="1159"/>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5"/>
      <c r="AY80" s="715"/>
      <c r="AZ80" s="715"/>
      <c r="BA80" s="715"/>
      <c r="BB80" s="715"/>
      <c r="BC80" s="715"/>
      <c r="BD80" s="715"/>
      <c r="BE80" s="715"/>
      <c r="BF80" s="715"/>
      <c r="BG80" s="715"/>
      <c r="BH80" s="715"/>
      <c r="BI80" s="715"/>
      <c r="BJ80" s="715"/>
      <c r="BK80" s="715"/>
      <c r="BL80" s="715"/>
      <c r="BM80" s="715"/>
      <c r="BN80" s="715"/>
      <c r="BO80" s="715"/>
      <c r="BP80" s="715"/>
      <c r="BQ80" s="715"/>
      <c r="BR80" s="715"/>
      <c r="BS80" s="715"/>
      <c r="BT80" s="715"/>
      <c r="BU80" s="715"/>
      <c r="BV80" s="715"/>
      <c r="BW80" s="715"/>
      <c r="BX80" s="715"/>
      <c r="BY80" s="715"/>
      <c r="BZ80" s="715"/>
      <c r="CA80" s="715"/>
      <c r="CB80" s="715"/>
      <c r="CC80" s="715"/>
      <c r="CD80" s="715"/>
      <c r="CE80" s="715"/>
      <c r="CF80" s="715"/>
      <c r="CG80" s="715"/>
      <c r="CH80" s="715"/>
      <c r="CI80" s="715"/>
      <c r="CJ80" s="715"/>
      <c r="CK80" s="715"/>
      <c r="CL80" s="715"/>
      <c r="CM80" s="715"/>
      <c r="CN80" s="715"/>
      <c r="CO80" s="715"/>
      <c r="CP80" s="715"/>
      <c r="CQ80" s="715"/>
      <c r="CR80" s="715"/>
      <c r="CS80" s="715"/>
      <c r="CT80" s="715"/>
      <c r="CU80" s="715"/>
      <c r="CV80" s="715"/>
      <c r="CW80" s="715"/>
      <c r="CX80" s="715"/>
      <c r="CY80" s="715"/>
      <c r="CZ80" s="715"/>
      <c r="DA80" s="715"/>
      <c r="DB80" s="715"/>
      <c r="DC80" s="715"/>
      <c r="DD80" s="715"/>
      <c r="DE80" s="715"/>
      <c r="DF80" s="715"/>
      <c r="DG80" s="715"/>
      <c r="DH80" s="715"/>
      <c r="DI80" s="715"/>
      <c r="DJ80" s="715"/>
      <c r="DK80" s="715"/>
      <c r="DL80" s="715"/>
      <c r="DM80" s="715"/>
      <c r="DN80" s="715"/>
      <c r="DO80" s="715"/>
      <c r="DP80" s="715"/>
      <c r="DQ80" s="715"/>
      <c r="DR80" s="715"/>
      <c r="DS80" s="715"/>
      <c r="DT80" s="715"/>
      <c r="DU80" s="715"/>
      <c r="DV80" s="715"/>
      <c r="DW80" s="715"/>
      <c r="DX80" s="715"/>
      <c r="DY80" s="715"/>
      <c r="DZ80" s="715"/>
      <c r="EA80" s="715"/>
      <c r="EB80" s="715"/>
      <c r="EC80" s="715"/>
      <c r="ED80" s="715"/>
      <c r="EE80" s="715"/>
      <c r="EF80" s="715"/>
      <c r="EG80" s="715"/>
    </row>
    <row r="81" spans="1:137" s="365" customFormat="1" ht="15">
      <c r="A81" s="1173"/>
      <c r="B81" s="1261"/>
      <c r="C81" s="1171" t="s">
        <v>10</v>
      </c>
      <c r="D81" s="1162">
        <v>2367.4769999999999</v>
      </c>
      <c r="E81" s="1162">
        <v>2367.4769999999999</v>
      </c>
      <c r="F81" s="1162">
        <v>2367.4769999999999</v>
      </c>
      <c r="G81" s="1152">
        <v>0</v>
      </c>
      <c r="H81" s="1233"/>
      <c r="I81" s="1233"/>
      <c r="J81" s="1263"/>
      <c r="K81" s="1235"/>
      <c r="L81" s="1234"/>
      <c r="M81" s="1159"/>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715"/>
      <c r="AK81" s="715"/>
      <c r="AL81" s="715"/>
      <c r="AM81" s="715"/>
      <c r="AN81" s="715"/>
      <c r="AO81" s="715"/>
      <c r="AP81" s="715"/>
      <c r="AQ81" s="715"/>
      <c r="AR81" s="715"/>
      <c r="AS81" s="715"/>
      <c r="AT81" s="715"/>
      <c r="AU81" s="715"/>
      <c r="AV81" s="715"/>
      <c r="AW81" s="715"/>
      <c r="AX81" s="715"/>
      <c r="AY81" s="715"/>
      <c r="AZ81" s="715"/>
      <c r="BA81" s="715"/>
      <c r="BB81" s="715"/>
      <c r="BC81" s="715"/>
      <c r="BD81" s="715"/>
      <c r="BE81" s="715"/>
      <c r="BF81" s="715"/>
      <c r="BG81" s="715"/>
      <c r="BH81" s="715"/>
      <c r="BI81" s="715"/>
      <c r="BJ81" s="715"/>
      <c r="BK81" s="715"/>
      <c r="BL81" s="715"/>
      <c r="BM81" s="715"/>
      <c r="BN81" s="715"/>
      <c r="BO81" s="715"/>
      <c r="BP81" s="715"/>
      <c r="BQ81" s="715"/>
      <c r="BR81" s="715"/>
      <c r="BS81" s="715"/>
      <c r="BT81" s="715"/>
      <c r="BU81" s="715"/>
      <c r="BV81" s="715"/>
      <c r="BW81" s="715"/>
      <c r="BX81" s="715"/>
      <c r="BY81" s="715"/>
      <c r="BZ81" s="715"/>
      <c r="CA81" s="715"/>
      <c r="CB81" s="715"/>
      <c r="CC81" s="715"/>
      <c r="CD81" s="715"/>
      <c r="CE81" s="715"/>
      <c r="CF81" s="715"/>
      <c r="CG81" s="715"/>
      <c r="CH81" s="715"/>
      <c r="CI81" s="715"/>
      <c r="CJ81" s="715"/>
      <c r="CK81" s="715"/>
      <c r="CL81" s="715"/>
      <c r="CM81" s="715"/>
      <c r="CN81" s="715"/>
      <c r="CO81" s="715"/>
      <c r="CP81" s="715"/>
      <c r="CQ81" s="715"/>
      <c r="CR81" s="715"/>
      <c r="CS81" s="715"/>
      <c r="CT81" s="715"/>
      <c r="CU81" s="715"/>
      <c r="CV81" s="715"/>
      <c r="CW81" s="715"/>
      <c r="CX81" s="715"/>
      <c r="CY81" s="715"/>
      <c r="CZ81" s="715"/>
      <c r="DA81" s="715"/>
      <c r="DB81" s="715"/>
      <c r="DC81" s="715"/>
      <c r="DD81" s="715"/>
      <c r="DE81" s="715"/>
      <c r="DF81" s="715"/>
      <c r="DG81" s="715"/>
      <c r="DH81" s="715"/>
      <c r="DI81" s="715"/>
      <c r="DJ81" s="715"/>
      <c r="DK81" s="715"/>
      <c r="DL81" s="715"/>
      <c r="DM81" s="715"/>
      <c r="DN81" s="715"/>
      <c r="DO81" s="715"/>
      <c r="DP81" s="715"/>
      <c r="DQ81" s="715"/>
      <c r="DR81" s="715"/>
      <c r="DS81" s="715"/>
      <c r="DT81" s="715"/>
      <c r="DU81" s="715"/>
      <c r="DV81" s="715"/>
      <c r="DW81" s="715"/>
      <c r="DX81" s="715"/>
      <c r="DY81" s="715"/>
      <c r="DZ81" s="715"/>
      <c r="EA81" s="715"/>
      <c r="EB81" s="715"/>
      <c r="EC81" s="715"/>
      <c r="ED81" s="715"/>
      <c r="EE81" s="715"/>
      <c r="EF81" s="715"/>
      <c r="EG81" s="715"/>
    </row>
    <row r="82" spans="1:137" s="365" customFormat="1" ht="15">
      <c r="A82" s="1173"/>
      <c r="B82" s="1261"/>
      <c r="C82" s="1171" t="s">
        <v>11</v>
      </c>
      <c r="D82" s="1162">
        <v>0</v>
      </c>
      <c r="E82" s="1232">
        <v>0</v>
      </c>
      <c r="F82" s="1232">
        <v>0</v>
      </c>
      <c r="G82" s="1152">
        <v>0</v>
      </c>
      <c r="H82" s="1233"/>
      <c r="I82" s="1233"/>
      <c r="J82" s="1263"/>
      <c r="K82" s="1235"/>
      <c r="L82" s="1234"/>
      <c r="M82" s="1159"/>
      <c r="N82" s="715"/>
      <c r="O82" s="715"/>
      <c r="P82" s="715"/>
      <c r="Q82" s="715"/>
      <c r="R82" s="715"/>
      <c r="S82" s="715"/>
      <c r="T82" s="715"/>
      <c r="U82" s="715"/>
      <c r="V82" s="715"/>
      <c r="W82" s="715"/>
      <c r="X82" s="715"/>
      <c r="Y82" s="715"/>
      <c r="Z82" s="715"/>
      <c r="AA82" s="715"/>
      <c r="AB82" s="715"/>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715"/>
      <c r="AY82" s="715"/>
      <c r="AZ82" s="715"/>
      <c r="BA82" s="715"/>
      <c r="BB82" s="715"/>
      <c r="BC82" s="715"/>
      <c r="BD82" s="715"/>
      <c r="BE82" s="715"/>
      <c r="BF82" s="715"/>
      <c r="BG82" s="715"/>
      <c r="BH82" s="715"/>
      <c r="BI82" s="715"/>
      <c r="BJ82" s="715"/>
      <c r="BK82" s="715"/>
      <c r="BL82" s="715"/>
      <c r="BM82" s="715"/>
      <c r="BN82" s="715"/>
      <c r="BO82" s="715"/>
      <c r="BP82" s="715"/>
      <c r="BQ82" s="715"/>
      <c r="BR82" s="715"/>
      <c r="BS82" s="715"/>
      <c r="BT82" s="715"/>
      <c r="BU82" s="715"/>
      <c r="BV82" s="715"/>
      <c r="BW82" s="715"/>
      <c r="BX82" s="715"/>
      <c r="BY82" s="715"/>
      <c r="BZ82" s="715"/>
      <c r="CA82" s="715"/>
      <c r="CB82" s="715"/>
      <c r="CC82" s="715"/>
      <c r="CD82" s="715"/>
      <c r="CE82" s="715"/>
      <c r="CF82" s="715"/>
      <c r="CG82" s="715"/>
      <c r="CH82" s="715"/>
      <c r="CI82" s="715"/>
      <c r="CJ82" s="715"/>
      <c r="CK82" s="715"/>
      <c r="CL82" s="715"/>
      <c r="CM82" s="715"/>
      <c r="CN82" s="715"/>
      <c r="CO82" s="715"/>
      <c r="CP82" s="715"/>
      <c r="CQ82" s="715"/>
      <c r="CR82" s="715"/>
      <c r="CS82" s="715"/>
      <c r="CT82" s="715"/>
      <c r="CU82" s="715"/>
      <c r="CV82" s="715"/>
      <c r="CW82" s="715"/>
      <c r="CX82" s="715"/>
      <c r="CY82" s="715"/>
      <c r="CZ82" s="715"/>
      <c r="DA82" s="715"/>
      <c r="DB82" s="715"/>
      <c r="DC82" s="715"/>
      <c r="DD82" s="715"/>
      <c r="DE82" s="715"/>
      <c r="DF82" s="715"/>
      <c r="DG82" s="715"/>
      <c r="DH82" s="715"/>
      <c r="DI82" s="715"/>
      <c r="DJ82" s="715"/>
      <c r="DK82" s="715"/>
      <c r="DL82" s="715"/>
      <c r="DM82" s="715"/>
      <c r="DN82" s="715"/>
      <c r="DO82" s="715"/>
      <c r="DP82" s="715"/>
      <c r="DQ82" s="715"/>
      <c r="DR82" s="715"/>
      <c r="DS82" s="715"/>
      <c r="DT82" s="715"/>
      <c r="DU82" s="715"/>
      <c r="DV82" s="715"/>
      <c r="DW82" s="715"/>
      <c r="DX82" s="715"/>
      <c r="DY82" s="715"/>
      <c r="DZ82" s="715"/>
      <c r="EA82" s="715"/>
      <c r="EB82" s="715"/>
      <c r="EC82" s="715"/>
      <c r="ED82" s="715"/>
      <c r="EE82" s="715"/>
      <c r="EF82" s="715"/>
      <c r="EG82" s="715"/>
    </row>
    <row r="83" spans="1:137" s="365" customFormat="1" ht="15">
      <c r="A83" s="1176"/>
      <c r="B83" s="1264"/>
      <c r="C83" s="1171" t="s">
        <v>12</v>
      </c>
      <c r="D83" s="1162">
        <v>0</v>
      </c>
      <c r="E83" s="1232">
        <v>0</v>
      </c>
      <c r="F83" s="1232">
        <v>0</v>
      </c>
      <c r="G83" s="1152">
        <v>0</v>
      </c>
      <c r="H83" s="1236"/>
      <c r="I83" s="1236"/>
      <c r="J83" s="1265"/>
      <c r="K83" s="1242"/>
      <c r="L83" s="1237"/>
      <c r="M83" s="116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715"/>
      <c r="AY83" s="715"/>
      <c r="AZ83" s="715"/>
      <c r="BA83" s="715"/>
      <c r="BB83" s="715"/>
      <c r="BC83" s="715"/>
      <c r="BD83" s="715"/>
      <c r="BE83" s="715"/>
      <c r="BF83" s="715"/>
      <c r="BG83" s="715"/>
      <c r="BH83" s="715"/>
      <c r="BI83" s="715"/>
      <c r="BJ83" s="715"/>
      <c r="BK83" s="715"/>
      <c r="BL83" s="715"/>
      <c r="BM83" s="715"/>
      <c r="BN83" s="715"/>
      <c r="BO83" s="715"/>
      <c r="BP83" s="715"/>
      <c r="BQ83" s="715"/>
      <c r="BR83" s="715"/>
      <c r="BS83" s="715"/>
      <c r="BT83" s="715"/>
      <c r="BU83" s="715"/>
      <c r="BV83" s="715"/>
      <c r="BW83" s="715"/>
      <c r="BX83" s="715"/>
      <c r="BY83" s="715"/>
      <c r="BZ83" s="715"/>
      <c r="CA83" s="715"/>
      <c r="CB83" s="715"/>
      <c r="CC83" s="715"/>
      <c r="CD83" s="715"/>
      <c r="CE83" s="715"/>
      <c r="CF83" s="715"/>
      <c r="CG83" s="715"/>
      <c r="CH83" s="715"/>
      <c r="CI83" s="715"/>
      <c r="CJ83" s="715"/>
      <c r="CK83" s="715"/>
      <c r="CL83" s="715"/>
      <c r="CM83" s="715"/>
      <c r="CN83" s="715"/>
      <c r="CO83" s="715"/>
      <c r="CP83" s="715"/>
      <c r="CQ83" s="715"/>
      <c r="CR83" s="715"/>
      <c r="CS83" s="715"/>
      <c r="CT83" s="715"/>
      <c r="CU83" s="715"/>
      <c r="CV83" s="715"/>
      <c r="CW83" s="715"/>
      <c r="CX83" s="715"/>
      <c r="CY83" s="715"/>
      <c r="CZ83" s="715"/>
      <c r="DA83" s="715"/>
      <c r="DB83" s="715"/>
      <c r="DC83" s="715"/>
      <c r="DD83" s="715"/>
      <c r="DE83" s="715"/>
      <c r="DF83" s="715"/>
      <c r="DG83" s="715"/>
      <c r="DH83" s="715"/>
      <c r="DI83" s="715"/>
      <c r="DJ83" s="715"/>
      <c r="DK83" s="715"/>
      <c r="DL83" s="715"/>
      <c r="DM83" s="715"/>
      <c r="DN83" s="715"/>
      <c r="DO83" s="715"/>
      <c r="DP83" s="715"/>
      <c r="DQ83" s="715"/>
      <c r="DR83" s="715"/>
      <c r="DS83" s="715"/>
      <c r="DT83" s="715"/>
      <c r="DU83" s="715"/>
      <c r="DV83" s="715"/>
      <c r="DW83" s="715"/>
      <c r="DX83" s="715"/>
      <c r="DY83" s="715"/>
      <c r="DZ83" s="715"/>
      <c r="EA83" s="715"/>
      <c r="EB83" s="715"/>
      <c r="EC83" s="715"/>
      <c r="ED83" s="715"/>
      <c r="EE83" s="715"/>
      <c r="EF83" s="715"/>
      <c r="EG83" s="715"/>
    </row>
    <row r="84" spans="1:137" s="365" customFormat="1" ht="15">
      <c r="A84" s="1169" t="s">
        <v>2859</v>
      </c>
      <c r="B84" s="1266" t="s">
        <v>3141</v>
      </c>
      <c r="C84" s="1171" t="s">
        <v>8</v>
      </c>
      <c r="D84" s="1162">
        <v>3459.13</v>
      </c>
      <c r="E84" s="1232">
        <f>SUM(E85:E88)</f>
        <v>3458.9250000000002</v>
      </c>
      <c r="F84" s="1232">
        <f>SUM(F85:F88)</f>
        <v>3458.9250000000002</v>
      </c>
      <c r="G84" s="1152">
        <f t="shared" ref="G84" si="13">F84/D84</f>
        <v>0.99994073654358184</v>
      </c>
      <c r="H84" s="1245" t="str">
        <f>'[7]Пр ГП 19-20'!$J$41</f>
        <v xml:space="preserve">Обучение плаванию ежегодно не менее 500 человек </v>
      </c>
      <c r="I84" s="1231" t="s">
        <v>3093</v>
      </c>
      <c r="J84" s="1260" t="s">
        <v>2955</v>
      </c>
      <c r="K84" s="1267" t="s">
        <v>2813</v>
      </c>
      <c r="L84" s="1207"/>
      <c r="M84" s="1156">
        <v>823</v>
      </c>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15"/>
      <c r="AY84" s="715"/>
      <c r="AZ84" s="715"/>
      <c r="BA84" s="715"/>
      <c r="BB84" s="715"/>
      <c r="BC84" s="715"/>
      <c r="BD84" s="715"/>
      <c r="BE84" s="715"/>
      <c r="BF84" s="715"/>
      <c r="BG84" s="715"/>
      <c r="BH84" s="715"/>
      <c r="BI84" s="715"/>
      <c r="BJ84" s="715"/>
      <c r="BK84" s="715"/>
      <c r="BL84" s="715"/>
      <c r="BM84" s="715"/>
      <c r="BN84" s="715"/>
      <c r="BO84" s="715"/>
      <c r="BP84" s="715"/>
      <c r="BQ84" s="715"/>
      <c r="BR84" s="715"/>
      <c r="BS84" s="715"/>
      <c r="BT84" s="715"/>
      <c r="BU84" s="715"/>
      <c r="BV84" s="715"/>
      <c r="BW84" s="715"/>
      <c r="BX84" s="715"/>
      <c r="BY84" s="715"/>
      <c r="BZ84" s="715"/>
      <c r="CA84" s="715"/>
      <c r="CB84" s="715"/>
      <c r="CC84" s="715"/>
      <c r="CD84" s="715"/>
      <c r="CE84" s="715"/>
      <c r="CF84" s="715"/>
      <c r="CG84" s="715"/>
      <c r="CH84" s="715"/>
      <c r="CI84" s="715"/>
      <c r="CJ84" s="715"/>
      <c r="CK84" s="715"/>
      <c r="CL84" s="715"/>
      <c r="CM84" s="715"/>
      <c r="CN84" s="715"/>
      <c r="CO84" s="715"/>
      <c r="CP84" s="715"/>
      <c r="CQ84" s="715"/>
      <c r="CR84" s="715"/>
      <c r="CS84" s="715"/>
      <c r="CT84" s="715"/>
      <c r="CU84" s="715"/>
      <c r="CV84" s="715"/>
      <c r="CW84" s="715"/>
      <c r="CX84" s="715"/>
      <c r="CY84" s="715"/>
      <c r="CZ84" s="715"/>
      <c r="DA84" s="715"/>
      <c r="DB84" s="715"/>
      <c r="DC84" s="715"/>
      <c r="DD84" s="715"/>
      <c r="DE84" s="715"/>
      <c r="DF84" s="715"/>
      <c r="DG84" s="715"/>
      <c r="DH84" s="715"/>
      <c r="DI84" s="715"/>
      <c r="DJ84" s="715"/>
      <c r="DK84" s="715"/>
      <c r="DL84" s="715"/>
      <c r="DM84" s="715"/>
      <c r="DN84" s="715"/>
      <c r="DO84" s="715"/>
      <c r="DP84" s="715"/>
      <c r="DQ84" s="715"/>
      <c r="DR84" s="715"/>
      <c r="DS84" s="715"/>
      <c r="DT84" s="715"/>
      <c r="DU84" s="715"/>
      <c r="DV84" s="715"/>
      <c r="DW84" s="715"/>
      <c r="DX84" s="715"/>
      <c r="DY84" s="715"/>
      <c r="DZ84" s="715"/>
      <c r="EA84" s="715"/>
      <c r="EB84" s="715"/>
      <c r="EC84" s="715"/>
      <c r="ED84" s="715"/>
      <c r="EE84" s="715"/>
      <c r="EF84" s="715"/>
      <c r="EG84" s="715"/>
    </row>
    <row r="85" spans="1:137" s="365" customFormat="1" ht="15">
      <c r="A85" s="1173"/>
      <c r="B85" s="1266"/>
      <c r="C85" s="1171" t="s">
        <v>9</v>
      </c>
      <c r="D85" s="1162">
        <v>3459.13</v>
      </c>
      <c r="E85" s="1232">
        <v>3458.9250000000002</v>
      </c>
      <c r="F85" s="1232">
        <v>3458.9250000000002</v>
      </c>
      <c r="G85" s="1152">
        <f>F85/D85</f>
        <v>0.99994073654358184</v>
      </c>
      <c r="H85" s="1245"/>
      <c r="I85" s="1235"/>
      <c r="J85" s="1263"/>
      <c r="K85" s="1267"/>
      <c r="L85" s="1234"/>
      <c r="M85" s="1159"/>
      <c r="N85" s="715"/>
      <c r="O85" s="715"/>
      <c r="P85" s="715"/>
      <c r="Q85" s="715"/>
      <c r="R85" s="715"/>
      <c r="S85" s="715"/>
      <c r="T85" s="715"/>
      <c r="U85" s="715"/>
      <c r="V85" s="715"/>
      <c r="W85" s="715"/>
      <c r="X85" s="715"/>
      <c r="Y85" s="715"/>
      <c r="Z85" s="715"/>
      <c r="AA85" s="715"/>
      <c r="AB85" s="715"/>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715"/>
      <c r="AY85" s="715"/>
      <c r="AZ85" s="715"/>
      <c r="BA85" s="715"/>
      <c r="BB85" s="715"/>
      <c r="BC85" s="715"/>
      <c r="BD85" s="715"/>
      <c r="BE85" s="715"/>
      <c r="BF85" s="715"/>
      <c r="BG85" s="715"/>
      <c r="BH85" s="715"/>
      <c r="BI85" s="715"/>
      <c r="BJ85" s="715"/>
      <c r="BK85" s="715"/>
      <c r="BL85" s="715"/>
      <c r="BM85" s="715"/>
      <c r="BN85" s="715"/>
      <c r="BO85" s="715"/>
      <c r="BP85" s="715"/>
      <c r="BQ85" s="715"/>
      <c r="BR85" s="715"/>
      <c r="BS85" s="715"/>
      <c r="BT85" s="715"/>
      <c r="BU85" s="715"/>
      <c r="BV85" s="715"/>
      <c r="BW85" s="715"/>
      <c r="BX85" s="715"/>
      <c r="BY85" s="715"/>
      <c r="BZ85" s="715"/>
      <c r="CA85" s="715"/>
      <c r="CB85" s="715"/>
      <c r="CC85" s="715"/>
      <c r="CD85" s="715"/>
      <c r="CE85" s="715"/>
      <c r="CF85" s="715"/>
      <c r="CG85" s="715"/>
      <c r="CH85" s="715"/>
      <c r="CI85" s="715"/>
      <c r="CJ85" s="715"/>
      <c r="CK85" s="715"/>
      <c r="CL85" s="715"/>
      <c r="CM85" s="715"/>
      <c r="CN85" s="715"/>
      <c r="CO85" s="715"/>
      <c r="CP85" s="715"/>
      <c r="CQ85" s="715"/>
      <c r="CR85" s="715"/>
      <c r="CS85" s="715"/>
      <c r="CT85" s="715"/>
      <c r="CU85" s="715"/>
      <c r="CV85" s="715"/>
      <c r="CW85" s="715"/>
      <c r="CX85" s="715"/>
      <c r="CY85" s="715"/>
      <c r="CZ85" s="715"/>
      <c r="DA85" s="715"/>
      <c r="DB85" s="715"/>
      <c r="DC85" s="715"/>
      <c r="DD85" s="715"/>
      <c r="DE85" s="715"/>
      <c r="DF85" s="715"/>
      <c r="DG85" s="715"/>
      <c r="DH85" s="715"/>
      <c r="DI85" s="715"/>
      <c r="DJ85" s="715"/>
      <c r="DK85" s="715"/>
      <c r="DL85" s="715"/>
      <c r="DM85" s="715"/>
      <c r="DN85" s="715"/>
      <c r="DO85" s="715"/>
      <c r="DP85" s="715"/>
      <c r="DQ85" s="715"/>
      <c r="DR85" s="715"/>
      <c r="DS85" s="715"/>
      <c r="DT85" s="715"/>
      <c r="DU85" s="715"/>
      <c r="DV85" s="715"/>
      <c r="DW85" s="715"/>
      <c r="DX85" s="715"/>
      <c r="DY85" s="715"/>
      <c r="DZ85" s="715"/>
      <c r="EA85" s="715"/>
      <c r="EB85" s="715"/>
      <c r="EC85" s="715"/>
      <c r="ED85" s="715"/>
      <c r="EE85" s="715"/>
      <c r="EF85" s="715"/>
      <c r="EG85" s="715"/>
    </row>
    <row r="86" spans="1:137" s="365" customFormat="1" ht="15">
      <c r="A86" s="1173"/>
      <c r="B86" s="1266"/>
      <c r="C86" s="1171" t="s">
        <v>10</v>
      </c>
      <c r="D86" s="1162">
        <v>0</v>
      </c>
      <c r="E86" s="1232">
        <v>0</v>
      </c>
      <c r="F86" s="1232">
        <v>0</v>
      </c>
      <c r="G86" s="1152">
        <v>0</v>
      </c>
      <c r="H86" s="1245"/>
      <c r="I86" s="1235"/>
      <c r="J86" s="1263"/>
      <c r="K86" s="1267"/>
      <c r="L86" s="1234"/>
      <c r="M86" s="1159"/>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715"/>
      <c r="AL86" s="715"/>
      <c r="AM86" s="715"/>
      <c r="AN86" s="715"/>
      <c r="AO86" s="715"/>
      <c r="AP86" s="715"/>
      <c r="AQ86" s="715"/>
      <c r="AR86" s="715"/>
      <c r="AS86" s="715"/>
      <c r="AT86" s="715"/>
      <c r="AU86" s="715"/>
      <c r="AV86" s="715"/>
      <c r="AW86" s="715"/>
      <c r="AX86" s="715"/>
      <c r="AY86" s="715"/>
      <c r="AZ86" s="715"/>
      <c r="BA86" s="715"/>
      <c r="BB86" s="715"/>
      <c r="BC86" s="715"/>
      <c r="BD86" s="715"/>
      <c r="BE86" s="715"/>
      <c r="BF86" s="715"/>
      <c r="BG86" s="715"/>
      <c r="BH86" s="715"/>
      <c r="BI86" s="715"/>
      <c r="BJ86" s="715"/>
      <c r="BK86" s="715"/>
      <c r="BL86" s="715"/>
      <c r="BM86" s="715"/>
      <c r="BN86" s="715"/>
      <c r="BO86" s="715"/>
      <c r="BP86" s="715"/>
      <c r="BQ86" s="715"/>
      <c r="BR86" s="715"/>
      <c r="BS86" s="715"/>
      <c r="BT86" s="715"/>
      <c r="BU86" s="715"/>
      <c r="BV86" s="715"/>
      <c r="BW86" s="715"/>
      <c r="BX86" s="715"/>
      <c r="BY86" s="715"/>
      <c r="BZ86" s="715"/>
      <c r="CA86" s="715"/>
      <c r="CB86" s="715"/>
      <c r="CC86" s="715"/>
      <c r="CD86" s="715"/>
      <c r="CE86" s="715"/>
      <c r="CF86" s="715"/>
      <c r="CG86" s="715"/>
      <c r="CH86" s="715"/>
      <c r="CI86" s="715"/>
      <c r="CJ86" s="715"/>
      <c r="CK86" s="715"/>
      <c r="CL86" s="715"/>
      <c r="CM86" s="715"/>
      <c r="CN86" s="715"/>
      <c r="CO86" s="715"/>
      <c r="CP86" s="715"/>
      <c r="CQ86" s="715"/>
      <c r="CR86" s="715"/>
      <c r="CS86" s="715"/>
      <c r="CT86" s="715"/>
      <c r="CU86" s="715"/>
      <c r="CV86" s="715"/>
      <c r="CW86" s="715"/>
      <c r="CX86" s="715"/>
      <c r="CY86" s="715"/>
      <c r="CZ86" s="715"/>
      <c r="DA86" s="715"/>
      <c r="DB86" s="715"/>
      <c r="DC86" s="715"/>
      <c r="DD86" s="715"/>
      <c r="DE86" s="715"/>
      <c r="DF86" s="715"/>
      <c r="DG86" s="715"/>
      <c r="DH86" s="715"/>
      <c r="DI86" s="715"/>
      <c r="DJ86" s="715"/>
      <c r="DK86" s="715"/>
      <c r="DL86" s="715"/>
      <c r="DM86" s="715"/>
      <c r="DN86" s="715"/>
      <c r="DO86" s="715"/>
      <c r="DP86" s="715"/>
      <c r="DQ86" s="715"/>
      <c r="DR86" s="715"/>
      <c r="DS86" s="715"/>
      <c r="DT86" s="715"/>
      <c r="DU86" s="715"/>
      <c r="DV86" s="715"/>
      <c r="DW86" s="715"/>
      <c r="DX86" s="715"/>
      <c r="DY86" s="715"/>
      <c r="DZ86" s="715"/>
      <c r="EA86" s="715"/>
      <c r="EB86" s="715"/>
      <c r="EC86" s="715"/>
      <c r="ED86" s="715"/>
      <c r="EE86" s="715"/>
      <c r="EF86" s="715"/>
      <c r="EG86" s="715"/>
    </row>
    <row r="87" spans="1:137" s="365" customFormat="1" ht="15">
      <c r="A87" s="1173"/>
      <c r="B87" s="1266"/>
      <c r="C87" s="1171" t="s">
        <v>11</v>
      </c>
      <c r="D87" s="1162">
        <v>0</v>
      </c>
      <c r="E87" s="1232">
        <v>0</v>
      </c>
      <c r="F87" s="1232">
        <v>0</v>
      </c>
      <c r="G87" s="1152">
        <v>0</v>
      </c>
      <c r="H87" s="1245"/>
      <c r="I87" s="1235"/>
      <c r="J87" s="1263"/>
      <c r="K87" s="1267"/>
      <c r="L87" s="1234"/>
      <c r="M87" s="1159"/>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5"/>
      <c r="AL87" s="715"/>
      <c r="AM87" s="715"/>
      <c r="AN87" s="715"/>
      <c r="AO87" s="715"/>
      <c r="AP87" s="715"/>
      <c r="AQ87" s="715"/>
      <c r="AR87" s="715"/>
      <c r="AS87" s="715"/>
      <c r="AT87" s="715"/>
      <c r="AU87" s="715"/>
      <c r="AV87" s="715"/>
      <c r="AW87" s="715"/>
      <c r="AX87" s="715"/>
      <c r="AY87" s="715"/>
      <c r="AZ87" s="715"/>
      <c r="BA87" s="715"/>
      <c r="BB87" s="715"/>
      <c r="BC87" s="715"/>
      <c r="BD87" s="715"/>
      <c r="BE87" s="715"/>
      <c r="BF87" s="715"/>
      <c r="BG87" s="715"/>
      <c r="BH87" s="715"/>
      <c r="BI87" s="715"/>
      <c r="BJ87" s="715"/>
      <c r="BK87" s="715"/>
      <c r="BL87" s="715"/>
      <c r="BM87" s="715"/>
      <c r="BN87" s="715"/>
      <c r="BO87" s="715"/>
      <c r="BP87" s="715"/>
      <c r="BQ87" s="715"/>
      <c r="BR87" s="715"/>
      <c r="BS87" s="715"/>
      <c r="BT87" s="715"/>
      <c r="BU87" s="715"/>
      <c r="BV87" s="715"/>
      <c r="BW87" s="715"/>
      <c r="BX87" s="715"/>
      <c r="BY87" s="715"/>
      <c r="BZ87" s="715"/>
      <c r="CA87" s="715"/>
      <c r="CB87" s="715"/>
      <c r="CC87" s="715"/>
      <c r="CD87" s="715"/>
      <c r="CE87" s="715"/>
      <c r="CF87" s="715"/>
      <c r="CG87" s="715"/>
      <c r="CH87" s="715"/>
      <c r="CI87" s="715"/>
      <c r="CJ87" s="715"/>
      <c r="CK87" s="715"/>
      <c r="CL87" s="715"/>
      <c r="CM87" s="715"/>
      <c r="CN87" s="715"/>
      <c r="CO87" s="715"/>
      <c r="CP87" s="715"/>
      <c r="CQ87" s="715"/>
      <c r="CR87" s="715"/>
      <c r="CS87" s="715"/>
      <c r="CT87" s="715"/>
      <c r="CU87" s="715"/>
      <c r="CV87" s="715"/>
      <c r="CW87" s="715"/>
      <c r="CX87" s="715"/>
      <c r="CY87" s="715"/>
      <c r="CZ87" s="715"/>
      <c r="DA87" s="715"/>
      <c r="DB87" s="715"/>
      <c r="DC87" s="715"/>
      <c r="DD87" s="715"/>
      <c r="DE87" s="715"/>
      <c r="DF87" s="715"/>
      <c r="DG87" s="715"/>
      <c r="DH87" s="715"/>
      <c r="DI87" s="715"/>
      <c r="DJ87" s="715"/>
      <c r="DK87" s="715"/>
      <c r="DL87" s="715"/>
      <c r="DM87" s="715"/>
      <c r="DN87" s="715"/>
      <c r="DO87" s="715"/>
      <c r="DP87" s="715"/>
      <c r="DQ87" s="715"/>
      <c r="DR87" s="715"/>
      <c r="DS87" s="715"/>
      <c r="DT87" s="715"/>
      <c r="DU87" s="715"/>
      <c r="DV87" s="715"/>
      <c r="DW87" s="715"/>
      <c r="DX87" s="715"/>
      <c r="DY87" s="715"/>
      <c r="DZ87" s="715"/>
      <c r="EA87" s="715"/>
      <c r="EB87" s="715"/>
      <c r="EC87" s="715"/>
      <c r="ED87" s="715"/>
      <c r="EE87" s="715"/>
      <c r="EF87" s="715"/>
      <c r="EG87" s="715"/>
    </row>
    <row r="88" spans="1:137" s="365" customFormat="1" ht="15">
      <c r="A88" s="1176"/>
      <c r="B88" s="1266"/>
      <c r="C88" s="1171" t="s">
        <v>12</v>
      </c>
      <c r="D88" s="1162">
        <v>0</v>
      </c>
      <c r="E88" s="1232">
        <v>0</v>
      </c>
      <c r="F88" s="1232">
        <v>0</v>
      </c>
      <c r="G88" s="1152">
        <v>0</v>
      </c>
      <c r="H88" s="1245"/>
      <c r="I88" s="1242"/>
      <c r="J88" s="1265"/>
      <c r="K88" s="1267"/>
      <c r="L88" s="1237"/>
      <c r="M88" s="116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5"/>
      <c r="AY88" s="715"/>
      <c r="AZ88" s="715"/>
      <c r="BA88" s="715"/>
      <c r="BB88" s="715"/>
      <c r="BC88" s="715"/>
      <c r="BD88" s="715"/>
      <c r="BE88" s="715"/>
      <c r="BF88" s="715"/>
      <c r="BG88" s="715"/>
      <c r="BH88" s="715"/>
      <c r="BI88" s="715"/>
      <c r="BJ88" s="715"/>
      <c r="BK88" s="715"/>
      <c r="BL88" s="715"/>
      <c r="BM88" s="715"/>
      <c r="BN88" s="715"/>
      <c r="BO88" s="715"/>
      <c r="BP88" s="715"/>
      <c r="BQ88" s="715"/>
      <c r="BR88" s="715"/>
      <c r="BS88" s="715"/>
      <c r="BT88" s="715"/>
      <c r="BU88" s="715"/>
      <c r="BV88" s="715"/>
      <c r="BW88" s="715"/>
      <c r="BX88" s="715"/>
      <c r="BY88" s="715"/>
      <c r="BZ88" s="715"/>
      <c r="CA88" s="715"/>
      <c r="CB88" s="715"/>
      <c r="CC88" s="715"/>
      <c r="CD88" s="715"/>
      <c r="CE88" s="715"/>
      <c r="CF88" s="715"/>
      <c r="CG88" s="715"/>
      <c r="CH88" s="715"/>
      <c r="CI88" s="715"/>
      <c r="CJ88" s="715"/>
      <c r="CK88" s="715"/>
      <c r="CL88" s="715"/>
      <c r="CM88" s="715"/>
      <c r="CN88" s="715"/>
      <c r="CO88" s="715"/>
      <c r="CP88" s="715"/>
      <c r="CQ88" s="715"/>
      <c r="CR88" s="715"/>
      <c r="CS88" s="715"/>
      <c r="CT88" s="715"/>
      <c r="CU88" s="715"/>
      <c r="CV88" s="715"/>
      <c r="CW88" s="715"/>
      <c r="CX88" s="715"/>
      <c r="CY88" s="715"/>
      <c r="CZ88" s="715"/>
      <c r="DA88" s="715"/>
      <c r="DB88" s="715"/>
      <c r="DC88" s="715"/>
      <c r="DD88" s="715"/>
      <c r="DE88" s="715"/>
      <c r="DF88" s="715"/>
      <c r="DG88" s="715"/>
      <c r="DH88" s="715"/>
      <c r="DI88" s="715"/>
      <c r="DJ88" s="715"/>
      <c r="DK88" s="715"/>
      <c r="DL88" s="715"/>
      <c r="DM88" s="715"/>
      <c r="DN88" s="715"/>
      <c r="DO88" s="715"/>
      <c r="DP88" s="715"/>
      <c r="DQ88" s="715"/>
      <c r="DR88" s="715"/>
      <c r="DS88" s="715"/>
      <c r="DT88" s="715"/>
      <c r="DU88" s="715"/>
      <c r="DV88" s="715"/>
      <c r="DW88" s="715"/>
      <c r="DX88" s="715"/>
      <c r="DY88" s="715"/>
      <c r="DZ88" s="715"/>
      <c r="EA88" s="715"/>
      <c r="EB88" s="715"/>
      <c r="EC88" s="715"/>
      <c r="ED88" s="715"/>
      <c r="EE88" s="715"/>
      <c r="EF88" s="715"/>
      <c r="EG88" s="715"/>
    </row>
    <row r="89" spans="1:137" s="365" customFormat="1" ht="28.5" customHeight="1">
      <c r="A89" s="1169" t="s">
        <v>2860</v>
      </c>
      <c r="B89" s="1259" t="s">
        <v>2848</v>
      </c>
      <c r="C89" s="1171" t="s">
        <v>8</v>
      </c>
      <c r="D89" s="1162">
        <v>4000</v>
      </c>
      <c r="E89" s="1232">
        <f>SUM(E90:E93)</f>
        <v>3999.7959999999998</v>
      </c>
      <c r="F89" s="1232">
        <f>SUM(F90:F93)</f>
        <v>3999.7959999999998</v>
      </c>
      <c r="G89" s="1152">
        <f>F89/D89</f>
        <v>0.99994899999999998</v>
      </c>
      <c r="H89" s="1179" t="s">
        <v>2852</v>
      </c>
      <c r="I89" s="1136" t="s">
        <v>3094</v>
      </c>
      <c r="J89" s="1260" t="s">
        <v>2955</v>
      </c>
      <c r="K89" s="1231" t="s">
        <v>2813</v>
      </c>
      <c r="L89" s="1207"/>
      <c r="M89" s="1156">
        <v>823</v>
      </c>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715"/>
      <c r="AM89" s="715"/>
      <c r="AN89" s="715"/>
      <c r="AO89" s="715"/>
      <c r="AP89" s="715"/>
      <c r="AQ89" s="715"/>
      <c r="AR89" s="715"/>
      <c r="AS89" s="715"/>
      <c r="AT89" s="715"/>
      <c r="AU89" s="715"/>
      <c r="AV89" s="715"/>
      <c r="AW89" s="715"/>
      <c r="AX89" s="715"/>
      <c r="AY89" s="715"/>
      <c r="AZ89" s="715"/>
      <c r="BA89" s="715"/>
      <c r="BB89" s="715"/>
      <c r="BC89" s="715"/>
      <c r="BD89" s="715"/>
      <c r="BE89" s="715"/>
      <c r="BF89" s="715"/>
      <c r="BG89" s="715"/>
      <c r="BH89" s="715"/>
      <c r="BI89" s="715"/>
      <c r="BJ89" s="715"/>
      <c r="BK89" s="715"/>
      <c r="BL89" s="715"/>
      <c r="BM89" s="715"/>
      <c r="BN89" s="715"/>
      <c r="BO89" s="715"/>
      <c r="BP89" s="715"/>
      <c r="BQ89" s="715"/>
      <c r="BR89" s="715"/>
      <c r="BS89" s="715"/>
      <c r="BT89" s="715"/>
      <c r="BU89" s="715"/>
      <c r="BV89" s="715"/>
      <c r="BW89" s="715"/>
      <c r="BX89" s="715"/>
      <c r="BY89" s="715"/>
      <c r="BZ89" s="715"/>
      <c r="CA89" s="715"/>
      <c r="CB89" s="715"/>
      <c r="CC89" s="715"/>
      <c r="CD89" s="715"/>
      <c r="CE89" s="715"/>
      <c r="CF89" s="715"/>
      <c r="CG89" s="715"/>
      <c r="CH89" s="715"/>
      <c r="CI89" s="715"/>
      <c r="CJ89" s="715"/>
      <c r="CK89" s="715"/>
      <c r="CL89" s="715"/>
      <c r="CM89" s="715"/>
      <c r="CN89" s="715"/>
      <c r="CO89" s="715"/>
      <c r="CP89" s="715"/>
      <c r="CQ89" s="715"/>
      <c r="CR89" s="715"/>
      <c r="CS89" s="715"/>
      <c r="CT89" s="715"/>
      <c r="CU89" s="715"/>
      <c r="CV89" s="715"/>
      <c r="CW89" s="715"/>
      <c r="CX89" s="715"/>
      <c r="CY89" s="715"/>
      <c r="CZ89" s="715"/>
      <c r="DA89" s="715"/>
      <c r="DB89" s="715"/>
      <c r="DC89" s="715"/>
      <c r="DD89" s="715"/>
      <c r="DE89" s="715"/>
      <c r="DF89" s="715"/>
      <c r="DG89" s="715"/>
      <c r="DH89" s="715"/>
      <c r="DI89" s="715"/>
      <c r="DJ89" s="715"/>
      <c r="DK89" s="715"/>
      <c r="DL89" s="715"/>
      <c r="DM89" s="715"/>
      <c r="DN89" s="715"/>
      <c r="DO89" s="715"/>
      <c r="DP89" s="715"/>
      <c r="DQ89" s="715"/>
      <c r="DR89" s="715"/>
      <c r="DS89" s="715"/>
      <c r="DT89" s="715"/>
      <c r="DU89" s="715"/>
      <c r="DV89" s="715"/>
      <c r="DW89" s="715"/>
      <c r="DX89" s="715"/>
      <c r="DY89" s="715"/>
      <c r="DZ89" s="715"/>
      <c r="EA89" s="715"/>
      <c r="EB89" s="715"/>
      <c r="EC89" s="715"/>
      <c r="ED89" s="715"/>
      <c r="EE89" s="715"/>
      <c r="EF89" s="715"/>
      <c r="EG89" s="715"/>
    </row>
    <row r="90" spans="1:137" s="365" customFormat="1" ht="23.25" customHeight="1">
      <c r="A90" s="1173"/>
      <c r="B90" s="1261"/>
      <c r="C90" s="1171" t="s">
        <v>9</v>
      </c>
      <c r="D90" s="1162">
        <v>4000</v>
      </c>
      <c r="E90" s="1232">
        <v>3999.7959999999998</v>
      </c>
      <c r="F90" s="1232">
        <v>3999.7959999999998</v>
      </c>
      <c r="G90" s="1152">
        <f>F90/D90</f>
        <v>0.99994899999999998</v>
      </c>
      <c r="H90" s="1188"/>
      <c r="I90" s="1141"/>
      <c r="J90" s="1263"/>
      <c r="K90" s="1235"/>
      <c r="L90" s="1234"/>
      <c r="M90" s="1159"/>
      <c r="N90" s="715"/>
      <c r="O90" s="715"/>
      <c r="P90" s="715"/>
      <c r="Q90" s="715"/>
      <c r="R90" s="715"/>
      <c r="S90" s="715"/>
      <c r="T90" s="715"/>
      <c r="U90" s="715"/>
      <c r="V90" s="715"/>
      <c r="W90" s="715"/>
      <c r="X90" s="715"/>
      <c r="Y90" s="715"/>
      <c r="Z90" s="715"/>
      <c r="AA90" s="715"/>
      <c r="AB90" s="715"/>
      <c r="AC90" s="715"/>
      <c r="AD90" s="715"/>
      <c r="AE90" s="715"/>
      <c r="AF90" s="715"/>
      <c r="AG90" s="715"/>
      <c r="AH90" s="715"/>
      <c r="AI90" s="715"/>
      <c r="AJ90" s="715"/>
      <c r="AK90" s="715"/>
      <c r="AL90" s="715"/>
      <c r="AM90" s="715"/>
      <c r="AN90" s="715"/>
      <c r="AO90" s="715"/>
      <c r="AP90" s="715"/>
      <c r="AQ90" s="715"/>
      <c r="AR90" s="715"/>
      <c r="AS90" s="715"/>
      <c r="AT90" s="715"/>
      <c r="AU90" s="715"/>
      <c r="AV90" s="715"/>
      <c r="AW90" s="715"/>
      <c r="AX90" s="715"/>
      <c r="AY90" s="715"/>
      <c r="AZ90" s="715"/>
      <c r="BA90" s="715"/>
      <c r="BB90" s="715"/>
      <c r="BC90" s="715"/>
      <c r="BD90" s="715"/>
      <c r="BE90" s="715"/>
      <c r="BF90" s="715"/>
      <c r="BG90" s="715"/>
      <c r="BH90" s="715"/>
      <c r="BI90" s="715"/>
      <c r="BJ90" s="715"/>
      <c r="BK90" s="715"/>
      <c r="BL90" s="715"/>
      <c r="BM90" s="715"/>
      <c r="BN90" s="715"/>
      <c r="BO90" s="715"/>
      <c r="BP90" s="715"/>
      <c r="BQ90" s="715"/>
      <c r="BR90" s="715"/>
      <c r="BS90" s="715"/>
      <c r="BT90" s="715"/>
      <c r="BU90" s="715"/>
      <c r="BV90" s="715"/>
      <c r="BW90" s="715"/>
      <c r="BX90" s="715"/>
      <c r="BY90" s="715"/>
      <c r="BZ90" s="715"/>
      <c r="CA90" s="715"/>
      <c r="CB90" s="715"/>
      <c r="CC90" s="715"/>
      <c r="CD90" s="715"/>
      <c r="CE90" s="715"/>
      <c r="CF90" s="715"/>
      <c r="CG90" s="715"/>
      <c r="CH90" s="715"/>
      <c r="CI90" s="715"/>
      <c r="CJ90" s="715"/>
      <c r="CK90" s="715"/>
      <c r="CL90" s="715"/>
      <c r="CM90" s="715"/>
      <c r="CN90" s="715"/>
      <c r="CO90" s="715"/>
      <c r="CP90" s="715"/>
      <c r="CQ90" s="715"/>
      <c r="CR90" s="715"/>
      <c r="CS90" s="715"/>
      <c r="CT90" s="715"/>
      <c r="CU90" s="715"/>
      <c r="CV90" s="715"/>
      <c r="CW90" s="715"/>
      <c r="CX90" s="715"/>
      <c r="CY90" s="715"/>
      <c r="CZ90" s="715"/>
      <c r="DA90" s="715"/>
      <c r="DB90" s="715"/>
      <c r="DC90" s="715"/>
      <c r="DD90" s="715"/>
      <c r="DE90" s="715"/>
      <c r="DF90" s="715"/>
      <c r="DG90" s="715"/>
      <c r="DH90" s="715"/>
      <c r="DI90" s="715"/>
      <c r="DJ90" s="715"/>
      <c r="DK90" s="715"/>
      <c r="DL90" s="715"/>
      <c r="DM90" s="715"/>
      <c r="DN90" s="715"/>
      <c r="DO90" s="715"/>
      <c r="DP90" s="715"/>
      <c r="DQ90" s="715"/>
      <c r="DR90" s="715"/>
      <c r="DS90" s="715"/>
      <c r="DT90" s="715"/>
      <c r="DU90" s="715"/>
      <c r="DV90" s="715"/>
      <c r="DW90" s="715"/>
      <c r="DX90" s="715"/>
      <c r="DY90" s="715"/>
      <c r="DZ90" s="715"/>
      <c r="EA90" s="715"/>
      <c r="EB90" s="715"/>
      <c r="EC90" s="715"/>
      <c r="ED90" s="715"/>
      <c r="EE90" s="715"/>
      <c r="EF90" s="715"/>
      <c r="EG90" s="715"/>
    </row>
    <row r="91" spans="1:137" s="365" customFormat="1" ht="24.75" customHeight="1">
      <c r="A91" s="1173"/>
      <c r="B91" s="1261"/>
      <c r="C91" s="1171" t="s">
        <v>10</v>
      </c>
      <c r="D91" s="1162">
        <v>0</v>
      </c>
      <c r="E91" s="1232">
        <v>0</v>
      </c>
      <c r="F91" s="1232">
        <v>0</v>
      </c>
      <c r="G91" s="1152">
        <v>0</v>
      </c>
      <c r="H91" s="1188"/>
      <c r="I91" s="1141"/>
      <c r="J91" s="1263"/>
      <c r="K91" s="1235"/>
      <c r="L91" s="1234"/>
      <c r="M91" s="1159"/>
      <c r="N91" s="715"/>
      <c r="O91" s="715"/>
      <c r="P91" s="715"/>
      <c r="Q91" s="715"/>
      <c r="R91" s="715"/>
      <c r="S91" s="715"/>
      <c r="T91" s="715"/>
      <c r="U91" s="715"/>
      <c r="V91" s="715"/>
      <c r="W91" s="715"/>
      <c r="X91" s="715"/>
      <c r="Y91" s="715"/>
      <c r="Z91" s="715"/>
      <c r="AA91" s="715"/>
      <c r="AB91" s="715"/>
      <c r="AC91" s="715"/>
      <c r="AD91" s="715"/>
      <c r="AE91" s="715"/>
      <c r="AF91" s="715"/>
      <c r="AG91" s="715"/>
      <c r="AH91" s="715"/>
      <c r="AI91" s="715"/>
      <c r="AJ91" s="715"/>
      <c r="AK91" s="715"/>
      <c r="AL91" s="715"/>
      <c r="AM91" s="715"/>
      <c r="AN91" s="715"/>
      <c r="AO91" s="715"/>
      <c r="AP91" s="715"/>
      <c r="AQ91" s="715"/>
      <c r="AR91" s="715"/>
      <c r="AS91" s="715"/>
      <c r="AT91" s="715"/>
      <c r="AU91" s="715"/>
      <c r="AV91" s="715"/>
      <c r="AW91" s="715"/>
      <c r="AX91" s="715"/>
      <c r="AY91" s="715"/>
      <c r="AZ91" s="715"/>
      <c r="BA91" s="715"/>
      <c r="BB91" s="715"/>
      <c r="BC91" s="715"/>
      <c r="BD91" s="715"/>
      <c r="BE91" s="715"/>
      <c r="BF91" s="715"/>
      <c r="BG91" s="715"/>
      <c r="BH91" s="715"/>
      <c r="BI91" s="715"/>
      <c r="BJ91" s="715"/>
      <c r="BK91" s="715"/>
      <c r="BL91" s="715"/>
      <c r="BM91" s="715"/>
      <c r="BN91" s="715"/>
      <c r="BO91" s="715"/>
      <c r="BP91" s="715"/>
      <c r="BQ91" s="715"/>
      <c r="BR91" s="715"/>
      <c r="BS91" s="715"/>
      <c r="BT91" s="715"/>
      <c r="BU91" s="715"/>
      <c r="BV91" s="715"/>
      <c r="BW91" s="715"/>
      <c r="BX91" s="715"/>
      <c r="BY91" s="715"/>
      <c r="BZ91" s="715"/>
      <c r="CA91" s="715"/>
      <c r="CB91" s="715"/>
      <c r="CC91" s="715"/>
      <c r="CD91" s="715"/>
      <c r="CE91" s="715"/>
      <c r="CF91" s="715"/>
      <c r="CG91" s="715"/>
      <c r="CH91" s="715"/>
      <c r="CI91" s="715"/>
      <c r="CJ91" s="715"/>
      <c r="CK91" s="715"/>
      <c r="CL91" s="715"/>
      <c r="CM91" s="715"/>
      <c r="CN91" s="715"/>
      <c r="CO91" s="715"/>
      <c r="CP91" s="715"/>
      <c r="CQ91" s="715"/>
      <c r="CR91" s="715"/>
      <c r="CS91" s="715"/>
      <c r="CT91" s="715"/>
      <c r="CU91" s="715"/>
      <c r="CV91" s="715"/>
      <c r="CW91" s="715"/>
      <c r="CX91" s="715"/>
      <c r="CY91" s="715"/>
      <c r="CZ91" s="715"/>
      <c r="DA91" s="715"/>
      <c r="DB91" s="715"/>
      <c r="DC91" s="715"/>
      <c r="DD91" s="715"/>
      <c r="DE91" s="715"/>
      <c r="DF91" s="715"/>
      <c r="DG91" s="715"/>
      <c r="DH91" s="715"/>
      <c r="DI91" s="715"/>
      <c r="DJ91" s="715"/>
      <c r="DK91" s="715"/>
      <c r="DL91" s="715"/>
      <c r="DM91" s="715"/>
      <c r="DN91" s="715"/>
      <c r="DO91" s="715"/>
      <c r="DP91" s="715"/>
      <c r="DQ91" s="715"/>
      <c r="DR91" s="715"/>
      <c r="DS91" s="715"/>
      <c r="DT91" s="715"/>
      <c r="DU91" s="715"/>
      <c r="DV91" s="715"/>
      <c r="DW91" s="715"/>
      <c r="DX91" s="715"/>
      <c r="DY91" s="715"/>
      <c r="DZ91" s="715"/>
      <c r="EA91" s="715"/>
      <c r="EB91" s="715"/>
      <c r="EC91" s="715"/>
      <c r="ED91" s="715"/>
      <c r="EE91" s="715"/>
      <c r="EF91" s="715"/>
      <c r="EG91" s="715"/>
    </row>
    <row r="92" spans="1:137" s="365" customFormat="1" ht="36" customHeight="1">
      <c r="A92" s="1173"/>
      <c r="B92" s="1261"/>
      <c r="C92" s="1171" t="s">
        <v>11</v>
      </c>
      <c r="D92" s="1162">
        <v>0</v>
      </c>
      <c r="E92" s="1232">
        <v>0</v>
      </c>
      <c r="F92" s="1232">
        <v>0</v>
      </c>
      <c r="G92" s="1152">
        <v>0</v>
      </c>
      <c r="H92" s="1188"/>
      <c r="I92" s="1141"/>
      <c r="J92" s="1263"/>
      <c r="K92" s="1235"/>
      <c r="L92" s="1234"/>
      <c r="M92" s="1159"/>
      <c r="N92" s="715"/>
      <c r="O92" s="715"/>
      <c r="P92" s="715"/>
      <c r="Q92" s="715"/>
      <c r="R92" s="715"/>
      <c r="S92" s="715"/>
      <c r="T92" s="715"/>
      <c r="U92" s="715"/>
      <c r="V92" s="715"/>
      <c r="W92" s="715"/>
      <c r="X92" s="715"/>
      <c r="Y92" s="715"/>
      <c r="Z92" s="715"/>
      <c r="AA92" s="715"/>
      <c r="AB92" s="715"/>
      <c r="AC92" s="715"/>
      <c r="AD92" s="715"/>
      <c r="AE92" s="715"/>
      <c r="AF92" s="715"/>
      <c r="AG92" s="715"/>
      <c r="AH92" s="715"/>
      <c r="AI92" s="715"/>
      <c r="AJ92" s="715"/>
      <c r="AK92" s="715"/>
      <c r="AL92" s="715"/>
      <c r="AM92" s="715"/>
      <c r="AN92" s="715"/>
      <c r="AO92" s="715"/>
      <c r="AP92" s="715"/>
      <c r="AQ92" s="715"/>
      <c r="AR92" s="715"/>
      <c r="AS92" s="715"/>
      <c r="AT92" s="715"/>
      <c r="AU92" s="715"/>
      <c r="AV92" s="715"/>
      <c r="AW92" s="715"/>
      <c r="AX92" s="715"/>
      <c r="AY92" s="715"/>
      <c r="AZ92" s="715"/>
      <c r="BA92" s="715"/>
      <c r="BB92" s="715"/>
      <c r="BC92" s="715"/>
      <c r="BD92" s="715"/>
      <c r="BE92" s="715"/>
      <c r="BF92" s="715"/>
      <c r="BG92" s="715"/>
      <c r="BH92" s="715"/>
      <c r="BI92" s="715"/>
      <c r="BJ92" s="715"/>
      <c r="BK92" s="715"/>
      <c r="BL92" s="715"/>
      <c r="BM92" s="715"/>
      <c r="BN92" s="715"/>
      <c r="BO92" s="715"/>
      <c r="BP92" s="715"/>
      <c r="BQ92" s="715"/>
      <c r="BR92" s="715"/>
      <c r="BS92" s="715"/>
      <c r="BT92" s="715"/>
      <c r="BU92" s="715"/>
      <c r="BV92" s="715"/>
      <c r="BW92" s="715"/>
      <c r="BX92" s="715"/>
      <c r="BY92" s="715"/>
      <c r="BZ92" s="715"/>
      <c r="CA92" s="715"/>
      <c r="CB92" s="715"/>
      <c r="CC92" s="715"/>
      <c r="CD92" s="715"/>
      <c r="CE92" s="715"/>
      <c r="CF92" s="715"/>
      <c r="CG92" s="715"/>
      <c r="CH92" s="715"/>
      <c r="CI92" s="715"/>
      <c r="CJ92" s="715"/>
      <c r="CK92" s="715"/>
      <c r="CL92" s="715"/>
      <c r="CM92" s="715"/>
      <c r="CN92" s="715"/>
      <c r="CO92" s="715"/>
      <c r="CP92" s="715"/>
      <c r="CQ92" s="715"/>
      <c r="CR92" s="715"/>
      <c r="CS92" s="715"/>
      <c r="CT92" s="715"/>
      <c r="CU92" s="715"/>
      <c r="CV92" s="715"/>
      <c r="CW92" s="715"/>
      <c r="CX92" s="715"/>
      <c r="CY92" s="715"/>
      <c r="CZ92" s="715"/>
      <c r="DA92" s="715"/>
      <c r="DB92" s="715"/>
      <c r="DC92" s="715"/>
      <c r="DD92" s="715"/>
      <c r="DE92" s="715"/>
      <c r="DF92" s="715"/>
      <c r="DG92" s="715"/>
      <c r="DH92" s="715"/>
      <c r="DI92" s="715"/>
      <c r="DJ92" s="715"/>
      <c r="DK92" s="715"/>
      <c r="DL92" s="715"/>
      <c r="DM92" s="715"/>
      <c r="DN92" s="715"/>
      <c r="DO92" s="715"/>
      <c r="DP92" s="715"/>
      <c r="DQ92" s="715"/>
      <c r="DR92" s="715"/>
      <c r="DS92" s="715"/>
      <c r="DT92" s="715"/>
      <c r="DU92" s="715"/>
      <c r="DV92" s="715"/>
      <c r="DW92" s="715"/>
      <c r="DX92" s="715"/>
      <c r="DY92" s="715"/>
      <c r="DZ92" s="715"/>
      <c r="EA92" s="715"/>
      <c r="EB92" s="715"/>
      <c r="EC92" s="715"/>
      <c r="ED92" s="715"/>
      <c r="EE92" s="715"/>
      <c r="EF92" s="715"/>
      <c r="EG92" s="715"/>
    </row>
    <row r="93" spans="1:137" s="365" customFormat="1" ht="36.75" customHeight="1">
      <c r="A93" s="1176"/>
      <c r="B93" s="1264"/>
      <c r="C93" s="1171" t="s">
        <v>12</v>
      </c>
      <c r="D93" s="1162">
        <v>0</v>
      </c>
      <c r="E93" s="1232">
        <v>0</v>
      </c>
      <c r="F93" s="1232">
        <v>0</v>
      </c>
      <c r="G93" s="1152">
        <v>0</v>
      </c>
      <c r="H93" s="1195"/>
      <c r="I93" s="1147"/>
      <c r="J93" s="1265"/>
      <c r="K93" s="1242"/>
      <c r="L93" s="1237"/>
      <c r="M93" s="1165"/>
      <c r="N93" s="715"/>
      <c r="O93" s="715"/>
      <c r="P93" s="715"/>
      <c r="Q93" s="715"/>
      <c r="R93" s="715"/>
      <c r="S93" s="715"/>
      <c r="T93" s="715"/>
      <c r="U93" s="715"/>
      <c r="V93" s="715"/>
      <c r="W93" s="715"/>
      <c r="X93" s="715"/>
      <c r="Y93" s="715"/>
      <c r="Z93" s="715"/>
      <c r="AA93" s="715"/>
      <c r="AB93" s="715"/>
      <c r="AC93" s="715"/>
      <c r="AD93" s="715"/>
      <c r="AE93" s="715"/>
      <c r="AF93" s="715"/>
      <c r="AG93" s="715"/>
      <c r="AH93" s="715"/>
      <c r="AI93" s="715"/>
      <c r="AJ93" s="715"/>
      <c r="AK93" s="715"/>
      <c r="AL93" s="715"/>
      <c r="AM93" s="715"/>
      <c r="AN93" s="715"/>
      <c r="AO93" s="715"/>
      <c r="AP93" s="715"/>
      <c r="AQ93" s="715"/>
      <c r="AR93" s="715"/>
      <c r="AS93" s="715"/>
      <c r="AT93" s="715"/>
      <c r="AU93" s="715"/>
      <c r="AV93" s="715"/>
      <c r="AW93" s="715"/>
      <c r="AX93" s="715"/>
      <c r="AY93" s="715"/>
      <c r="AZ93" s="715"/>
      <c r="BA93" s="715"/>
      <c r="BB93" s="715"/>
      <c r="BC93" s="715"/>
      <c r="BD93" s="715"/>
      <c r="BE93" s="715"/>
      <c r="BF93" s="715"/>
      <c r="BG93" s="715"/>
      <c r="BH93" s="715"/>
      <c r="BI93" s="715"/>
      <c r="BJ93" s="715"/>
      <c r="BK93" s="715"/>
      <c r="BL93" s="715"/>
      <c r="BM93" s="715"/>
      <c r="BN93" s="715"/>
      <c r="BO93" s="715"/>
      <c r="BP93" s="715"/>
      <c r="BQ93" s="715"/>
      <c r="BR93" s="715"/>
      <c r="BS93" s="715"/>
      <c r="BT93" s="715"/>
      <c r="BU93" s="715"/>
      <c r="BV93" s="715"/>
      <c r="BW93" s="715"/>
      <c r="BX93" s="715"/>
      <c r="BY93" s="715"/>
      <c r="BZ93" s="715"/>
      <c r="CA93" s="715"/>
      <c r="CB93" s="715"/>
      <c r="CC93" s="715"/>
      <c r="CD93" s="715"/>
      <c r="CE93" s="715"/>
      <c r="CF93" s="715"/>
      <c r="CG93" s="715"/>
      <c r="CH93" s="715"/>
      <c r="CI93" s="715"/>
      <c r="CJ93" s="715"/>
      <c r="CK93" s="715"/>
      <c r="CL93" s="715"/>
      <c r="CM93" s="715"/>
      <c r="CN93" s="715"/>
      <c r="CO93" s="715"/>
      <c r="CP93" s="715"/>
      <c r="CQ93" s="715"/>
      <c r="CR93" s="715"/>
      <c r="CS93" s="715"/>
      <c r="CT93" s="715"/>
      <c r="CU93" s="715"/>
      <c r="CV93" s="715"/>
      <c r="CW93" s="715"/>
      <c r="CX93" s="715"/>
      <c r="CY93" s="715"/>
      <c r="CZ93" s="715"/>
      <c r="DA93" s="715"/>
      <c r="DB93" s="715"/>
      <c r="DC93" s="715"/>
      <c r="DD93" s="715"/>
      <c r="DE93" s="715"/>
      <c r="DF93" s="715"/>
      <c r="DG93" s="715"/>
      <c r="DH93" s="715"/>
      <c r="DI93" s="715"/>
      <c r="DJ93" s="715"/>
      <c r="DK93" s="715"/>
      <c r="DL93" s="715"/>
      <c r="DM93" s="715"/>
      <c r="DN93" s="715"/>
      <c r="DO93" s="715"/>
      <c r="DP93" s="715"/>
      <c r="DQ93" s="715"/>
      <c r="DR93" s="715"/>
      <c r="DS93" s="715"/>
      <c r="DT93" s="715"/>
      <c r="DU93" s="715"/>
      <c r="DV93" s="715"/>
      <c r="DW93" s="715"/>
      <c r="DX93" s="715"/>
      <c r="DY93" s="715"/>
      <c r="DZ93" s="715"/>
      <c r="EA93" s="715"/>
      <c r="EB93" s="715"/>
      <c r="EC93" s="715"/>
      <c r="ED93" s="715"/>
      <c r="EE93" s="715"/>
      <c r="EF93" s="715"/>
      <c r="EG93" s="715"/>
    </row>
    <row r="94" spans="1:137" s="364" customFormat="1">
      <c r="A94" s="1135" t="s">
        <v>40</v>
      </c>
      <c r="B94" s="1268" t="s">
        <v>2906</v>
      </c>
      <c r="C94" s="1205" t="s">
        <v>8</v>
      </c>
      <c r="D94" s="1166">
        <f>SUM(D95:D98)</f>
        <v>1227311.5</v>
      </c>
      <c r="E94" s="1166">
        <f>SUM(E95:E98)</f>
        <v>1225035.9215600002</v>
      </c>
      <c r="F94" s="1166">
        <f>SUM(F95:F98)</f>
        <v>1225035.9240000001</v>
      </c>
      <c r="G94" s="1172">
        <f>F94/D94</f>
        <v>0.99814588553924588</v>
      </c>
      <c r="H94" s="1153"/>
      <c r="I94" s="1154" t="s">
        <v>268</v>
      </c>
      <c r="J94" s="1155">
        <f>SUM(J99,J159,J174)</f>
        <v>15</v>
      </c>
      <c r="K94" s="1136" t="s">
        <v>2814</v>
      </c>
      <c r="L94" s="1269"/>
      <c r="M94" s="1156">
        <v>823</v>
      </c>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row>
    <row r="95" spans="1:137" s="364" customFormat="1">
      <c r="A95" s="1140"/>
      <c r="B95" s="1270"/>
      <c r="C95" s="1205" t="s">
        <v>9</v>
      </c>
      <c r="D95" s="1166">
        <v>1191345</v>
      </c>
      <c r="E95" s="1166">
        <f>SUM(E100,E160,E175)</f>
        <v>1189069.4215600002</v>
      </c>
      <c r="F95" s="1166">
        <f t="shared" ref="E95:F97" si="14">SUM(F100,F160,F175)</f>
        <v>1189069.4240000001</v>
      </c>
      <c r="G95" s="1172">
        <f>F95/D95</f>
        <v>0.99808991014357729</v>
      </c>
      <c r="H95" s="1158"/>
      <c r="I95" s="1154" t="s">
        <v>269</v>
      </c>
      <c r="J95" s="1191">
        <f>SUM(J100,J160,J175)</f>
        <v>14</v>
      </c>
      <c r="K95" s="1141"/>
      <c r="L95" s="1202"/>
      <c r="M95" s="1159"/>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row>
    <row r="96" spans="1:137" s="364" customFormat="1">
      <c r="A96" s="1140"/>
      <c r="B96" s="1270"/>
      <c r="C96" s="1205" t="s">
        <v>10</v>
      </c>
      <c r="D96" s="1166">
        <v>16189.3</v>
      </c>
      <c r="E96" s="1166">
        <f t="shared" si="14"/>
        <v>16189.3</v>
      </c>
      <c r="F96" s="1166">
        <f t="shared" si="14"/>
        <v>16189.3</v>
      </c>
      <c r="G96" s="1172">
        <f t="shared" ref="G96:G167" si="15">F96/D96</f>
        <v>1</v>
      </c>
      <c r="H96" s="1158"/>
      <c r="I96" s="1154" t="s">
        <v>270</v>
      </c>
      <c r="J96" s="1191">
        <f>SUM(J101,J161,J176)</f>
        <v>1</v>
      </c>
      <c r="K96" s="1141"/>
      <c r="L96" s="1202"/>
      <c r="M96" s="1159"/>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row>
    <row r="97" spans="1:137" s="364" customFormat="1">
      <c r="A97" s="1140"/>
      <c r="B97" s="1270"/>
      <c r="C97" s="1205" t="s">
        <v>11</v>
      </c>
      <c r="D97" s="1166">
        <v>19777.2</v>
      </c>
      <c r="E97" s="1166">
        <f t="shared" si="14"/>
        <v>19777.2</v>
      </c>
      <c r="F97" s="1166">
        <f t="shared" si="14"/>
        <v>19777.2</v>
      </c>
      <c r="G97" s="1172">
        <f t="shared" si="15"/>
        <v>1</v>
      </c>
      <c r="H97" s="1158"/>
      <c r="I97" s="1154" t="s">
        <v>271</v>
      </c>
      <c r="J97" s="1191">
        <f>SUM(J102,J162,J177)</f>
        <v>0</v>
      </c>
      <c r="K97" s="1141"/>
      <c r="L97" s="1202"/>
      <c r="M97" s="1159"/>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row>
    <row r="98" spans="1:137" s="364" customFormat="1" ht="30.75" customHeight="1">
      <c r="A98" s="1160"/>
      <c r="B98" s="1271"/>
      <c r="C98" s="1205" t="s">
        <v>12</v>
      </c>
      <c r="D98" s="1166">
        <v>0</v>
      </c>
      <c r="E98" s="1166">
        <v>0</v>
      </c>
      <c r="F98" s="1229">
        <v>0</v>
      </c>
      <c r="G98" s="1152">
        <v>0</v>
      </c>
      <c r="H98" s="1163"/>
      <c r="I98" s="1154" t="s">
        <v>272</v>
      </c>
      <c r="J98" s="1258">
        <f>(J95+0.5*J96)/J94</f>
        <v>0.96666666666666667</v>
      </c>
      <c r="K98" s="1141"/>
      <c r="L98" s="1202"/>
      <c r="M98" s="1165"/>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row>
    <row r="99" spans="1:137" s="364" customFormat="1" ht="27.75" customHeight="1">
      <c r="A99" s="1272"/>
      <c r="B99" s="1252" t="s">
        <v>2907</v>
      </c>
      <c r="C99" s="742" t="s">
        <v>8</v>
      </c>
      <c r="D99" s="1229">
        <f>SUM(D100:D103)</f>
        <v>1140833.9450000001</v>
      </c>
      <c r="E99" s="1229">
        <f>SUM(E100:E103)</f>
        <v>1138558.3440000003</v>
      </c>
      <c r="F99" s="1229">
        <f>SUM(F100:F103)</f>
        <v>1138558.3470000001</v>
      </c>
      <c r="G99" s="1152">
        <f>F99/D99</f>
        <v>0.99800532057274993</v>
      </c>
      <c r="H99" s="1150" t="s">
        <v>2874</v>
      </c>
      <c r="I99" s="1154" t="s">
        <v>268</v>
      </c>
      <c r="J99" s="1191">
        <v>11</v>
      </c>
      <c r="K99" s="1137" t="s">
        <v>2872</v>
      </c>
      <c r="L99" s="1199" t="s">
        <v>3201</v>
      </c>
      <c r="M99" s="1156">
        <v>823</v>
      </c>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row>
    <row r="100" spans="1:137" s="364" customFormat="1" ht="27.75" customHeight="1">
      <c r="A100" s="1272"/>
      <c r="B100" s="1212"/>
      <c r="C100" s="742" t="s">
        <v>9</v>
      </c>
      <c r="D100" s="1229">
        <f>SUM(D105,D110,D115,D120,D125,D130,D135,D140,D145,D150,D155)</f>
        <v>1140833.9450000001</v>
      </c>
      <c r="E100" s="1229">
        <f>SUM(E105,E110,E115,E120,E125,E130,E135,E140,E145,E150,E155)</f>
        <v>1138558.3440000003</v>
      </c>
      <c r="F100" s="1229">
        <f>SUM(F105,F110,F115,F120,F125,F130,F135,F140,F145,F150,F155)</f>
        <v>1138558.3470000001</v>
      </c>
      <c r="G100" s="1152">
        <f>F100/D100</f>
        <v>0.99800532057274993</v>
      </c>
      <c r="H100" s="1212"/>
      <c r="I100" s="1154" t="s">
        <v>269</v>
      </c>
      <c r="J100" s="1191">
        <v>10</v>
      </c>
      <c r="K100" s="1137"/>
      <c r="L100" s="1202"/>
      <c r="M100" s="1159"/>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row>
    <row r="101" spans="1:137" s="364" customFormat="1" ht="24" customHeight="1">
      <c r="A101" s="1273" t="s">
        <v>2846</v>
      </c>
      <c r="B101" s="1212"/>
      <c r="C101" s="742" t="s">
        <v>10</v>
      </c>
      <c r="D101" s="1229">
        <v>0</v>
      </c>
      <c r="E101" s="1229">
        <v>0</v>
      </c>
      <c r="F101" s="1229">
        <v>0</v>
      </c>
      <c r="G101" s="1152">
        <v>0</v>
      </c>
      <c r="H101" s="1212"/>
      <c r="I101" s="1154" t="s">
        <v>270</v>
      </c>
      <c r="J101" s="1191">
        <v>1</v>
      </c>
      <c r="K101" s="1137"/>
      <c r="L101" s="1202"/>
      <c r="M101" s="1159"/>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row>
    <row r="102" spans="1:137" s="364" customFormat="1" ht="26.25" customHeight="1">
      <c r="A102" s="1273"/>
      <c r="B102" s="1212"/>
      <c r="C102" s="742" t="s">
        <v>11</v>
      </c>
      <c r="D102" s="1229">
        <v>0</v>
      </c>
      <c r="E102" s="1229">
        <v>0</v>
      </c>
      <c r="F102" s="1229">
        <v>0</v>
      </c>
      <c r="G102" s="1152">
        <v>0</v>
      </c>
      <c r="H102" s="1212"/>
      <c r="I102" s="1154" t="s">
        <v>271</v>
      </c>
      <c r="J102" s="1191">
        <v>0</v>
      </c>
      <c r="K102" s="1137"/>
      <c r="L102" s="1202"/>
      <c r="M102" s="1159"/>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row>
    <row r="103" spans="1:137" s="364" customFormat="1" ht="30" customHeight="1">
      <c r="A103" s="1274"/>
      <c r="B103" s="1218"/>
      <c r="C103" s="742" t="s">
        <v>12</v>
      </c>
      <c r="D103" s="1229">
        <v>0</v>
      </c>
      <c r="E103" s="1229">
        <v>0</v>
      </c>
      <c r="F103" s="1229">
        <v>0</v>
      </c>
      <c r="G103" s="1152">
        <v>0</v>
      </c>
      <c r="H103" s="1218"/>
      <c r="I103" s="1154" t="s">
        <v>272</v>
      </c>
      <c r="J103" s="1258">
        <f>(J100+0.5*J101)/J99</f>
        <v>0.95454545454545459</v>
      </c>
      <c r="K103" s="1137"/>
      <c r="L103" s="1275"/>
      <c r="M103" s="1165"/>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row>
    <row r="104" spans="1:137" s="364" customFormat="1" ht="28.5" customHeight="1">
      <c r="A104" s="1135" t="s">
        <v>43</v>
      </c>
      <c r="B104" s="1276" t="s">
        <v>50</v>
      </c>
      <c r="C104" s="742" t="s">
        <v>8</v>
      </c>
      <c r="D104" s="1166">
        <v>5343.076</v>
      </c>
      <c r="E104" s="1229">
        <f>SUM(E105:E108)</f>
        <v>5333.0540000000001</v>
      </c>
      <c r="F104" s="1229">
        <f>SUM(F105:F108)</f>
        <v>5333.0540000000001</v>
      </c>
      <c r="G104" s="1277">
        <f>F104/D104</f>
        <v>0.99812430143235842</v>
      </c>
      <c r="H104" s="1150" t="str">
        <f>'[7]Пр ГП 19-20'!$J$59</f>
        <v>Ежегодная организация и проведение церемонии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v>
      </c>
      <c r="I104" s="1278" t="s">
        <v>2861</v>
      </c>
      <c r="J104" s="1260" t="s">
        <v>2955</v>
      </c>
      <c r="K104" s="1279" t="s">
        <v>2849</v>
      </c>
      <c r="L104" s="1207"/>
      <c r="M104" s="1156">
        <v>823</v>
      </c>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row>
    <row r="105" spans="1:137" s="364" customFormat="1" ht="32.25" customHeight="1">
      <c r="A105" s="1140"/>
      <c r="B105" s="1280"/>
      <c r="C105" s="742" t="s">
        <v>9</v>
      </c>
      <c r="D105" s="1262">
        <v>5343.076</v>
      </c>
      <c r="E105" s="1162">
        <v>5333.0540000000001</v>
      </c>
      <c r="F105" s="1162">
        <v>5333.0540000000001</v>
      </c>
      <c r="G105" s="1277">
        <f t="shared" ref="G105:G108" si="16">F105/D105</f>
        <v>0.99812430143235842</v>
      </c>
      <c r="H105" s="1157"/>
      <c r="I105" s="1281"/>
      <c r="J105" s="1263"/>
      <c r="K105" s="1282"/>
      <c r="L105" s="1234"/>
      <c r="M105" s="1159"/>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row>
    <row r="106" spans="1:137" s="364" customFormat="1" ht="34.5" customHeight="1">
      <c r="A106" s="1140"/>
      <c r="B106" s="1280"/>
      <c r="C106" s="742" t="s">
        <v>10</v>
      </c>
      <c r="D106" s="1162">
        <v>0</v>
      </c>
      <c r="E106" s="1162">
        <v>0</v>
      </c>
      <c r="F106" s="1162">
        <v>0</v>
      </c>
      <c r="G106" s="1277" t="e">
        <f t="shared" si="16"/>
        <v>#DIV/0!</v>
      </c>
      <c r="H106" s="1157"/>
      <c r="I106" s="1281"/>
      <c r="J106" s="1263"/>
      <c r="K106" s="1282"/>
      <c r="L106" s="1234"/>
      <c r="M106" s="1159"/>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row>
    <row r="107" spans="1:137" s="364" customFormat="1" ht="32.25" customHeight="1">
      <c r="A107" s="1140"/>
      <c r="B107" s="1280"/>
      <c r="C107" s="742" t="s">
        <v>11</v>
      </c>
      <c r="D107" s="1162">
        <v>0</v>
      </c>
      <c r="E107" s="1162">
        <v>0</v>
      </c>
      <c r="F107" s="1162">
        <v>0</v>
      </c>
      <c r="G107" s="1277" t="e">
        <f t="shared" si="16"/>
        <v>#DIV/0!</v>
      </c>
      <c r="H107" s="1157"/>
      <c r="I107" s="1281"/>
      <c r="J107" s="1263"/>
      <c r="K107" s="1282"/>
      <c r="L107" s="1234"/>
      <c r="M107" s="1159"/>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row>
    <row r="108" spans="1:137" s="364" customFormat="1" ht="36" customHeight="1">
      <c r="A108" s="1160"/>
      <c r="B108" s="1283"/>
      <c r="C108" s="742" t="s">
        <v>12</v>
      </c>
      <c r="D108" s="1162">
        <v>0</v>
      </c>
      <c r="E108" s="1162">
        <v>0</v>
      </c>
      <c r="F108" s="1162">
        <v>0</v>
      </c>
      <c r="G108" s="1277" t="e">
        <f t="shared" si="16"/>
        <v>#DIV/0!</v>
      </c>
      <c r="H108" s="1161"/>
      <c r="I108" s="1284"/>
      <c r="J108" s="1265"/>
      <c r="K108" s="1285"/>
      <c r="L108" s="1237"/>
      <c r="M108" s="1165"/>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row>
    <row r="109" spans="1:137" s="364" customFormat="1" ht="27" customHeight="1">
      <c r="A109" s="1135" t="s">
        <v>197</v>
      </c>
      <c r="B109" s="1276" t="s">
        <v>2908</v>
      </c>
      <c r="C109" s="742" t="s">
        <v>8</v>
      </c>
      <c r="D109" s="1229">
        <v>52700</v>
      </c>
      <c r="E109" s="1229">
        <f>SUM(E110:E113)</f>
        <v>52700</v>
      </c>
      <c r="F109" s="1229">
        <f>SUM(F110:F113)</f>
        <v>52700</v>
      </c>
      <c r="G109" s="1286">
        <f t="shared" si="15"/>
        <v>1</v>
      </c>
      <c r="H109" s="1150" t="s">
        <v>2850</v>
      </c>
      <c r="I109" s="1287" t="s">
        <v>3095</v>
      </c>
      <c r="J109" s="1260" t="s">
        <v>2955</v>
      </c>
      <c r="K109" s="1136" t="s">
        <v>2813</v>
      </c>
      <c r="L109" s="1288"/>
      <c r="M109" s="1156">
        <v>823</v>
      </c>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row>
    <row r="110" spans="1:137" s="364" customFormat="1" ht="35.25" customHeight="1">
      <c r="A110" s="1140"/>
      <c r="B110" s="1280"/>
      <c r="C110" s="742" t="s">
        <v>9</v>
      </c>
      <c r="D110" s="1262">
        <v>52700</v>
      </c>
      <c r="E110" s="1262">
        <v>52700</v>
      </c>
      <c r="F110" s="1262">
        <v>52700</v>
      </c>
      <c r="G110" s="1286">
        <f t="shared" si="15"/>
        <v>1</v>
      </c>
      <c r="H110" s="1157"/>
      <c r="I110" s="1289"/>
      <c r="J110" s="1263"/>
      <c r="K110" s="1141"/>
      <c r="L110" s="1290"/>
      <c r="M110" s="1159"/>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row>
    <row r="111" spans="1:137" s="364" customFormat="1" ht="36.75" customHeight="1">
      <c r="A111" s="1140"/>
      <c r="B111" s="1280"/>
      <c r="C111" s="742" t="s">
        <v>10</v>
      </c>
      <c r="D111" s="1162">
        <v>0</v>
      </c>
      <c r="E111" s="1162">
        <v>0</v>
      </c>
      <c r="F111" s="1162">
        <v>0</v>
      </c>
      <c r="G111" s="1291">
        <v>0</v>
      </c>
      <c r="H111" s="1157"/>
      <c r="I111" s="1289"/>
      <c r="J111" s="1263"/>
      <c r="K111" s="1141"/>
      <c r="L111" s="1290"/>
      <c r="M111" s="1159"/>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row>
    <row r="112" spans="1:137" s="364" customFormat="1" ht="36.75" customHeight="1">
      <c r="A112" s="1140"/>
      <c r="B112" s="1280"/>
      <c r="C112" s="742" t="s">
        <v>11</v>
      </c>
      <c r="D112" s="1162">
        <v>0</v>
      </c>
      <c r="E112" s="1162">
        <v>0</v>
      </c>
      <c r="F112" s="1162">
        <v>0</v>
      </c>
      <c r="G112" s="1291">
        <v>0</v>
      </c>
      <c r="H112" s="1157"/>
      <c r="I112" s="1289"/>
      <c r="J112" s="1263"/>
      <c r="K112" s="1141"/>
      <c r="L112" s="1290"/>
      <c r="M112" s="1159"/>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row>
    <row r="113" spans="1:137" s="364" customFormat="1" ht="39" customHeight="1">
      <c r="A113" s="1160"/>
      <c r="B113" s="1283"/>
      <c r="C113" s="742" t="s">
        <v>12</v>
      </c>
      <c r="D113" s="1162">
        <v>0</v>
      </c>
      <c r="E113" s="1162">
        <v>0</v>
      </c>
      <c r="F113" s="1162">
        <v>0</v>
      </c>
      <c r="G113" s="1291">
        <v>0</v>
      </c>
      <c r="H113" s="1161"/>
      <c r="I113" s="1292"/>
      <c r="J113" s="1265"/>
      <c r="K113" s="1141"/>
      <c r="L113" s="1293"/>
      <c r="M113" s="1165"/>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row>
    <row r="114" spans="1:137" s="364" customFormat="1" ht="15">
      <c r="A114" s="1135" t="s">
        <v>199</v>
      </c>
      <c r="B114" s="1276" t="s">
        <v>22</v>
      </c>
      <c r="C114" s="742" t="s">
        <v>8</v>
      </c>
      <c r="D114" s="1229">
        <v>914198.01699999999</v>
      </c>
      <c r="E114" s="1162">
        <f>SUM(E115:E118)</f>
        <v>914198.01699999999</v>
      </c>
      <c r="F114" s="1162">
        <f>SUM(F115:F118)</f>
        <v>914198.01699999999</v>
      </c>
      <c r="G114" s="1286">
        <f t="shared" si="15"/>
        <v>1</v>
      </c>
      <c r="H114" s="1150" t="s">
        <v>2827</v>
      </c>
      <c r="I114" s="1207" t="s">
        <v>2948</v>
      </c>
      <c r="J114" s="1260" t="s">
        <v>2955</v>
      </c>
      <c r="K114" s="1136" t="s">
        <v>3025</v>
      </c>
      <c r="L114" s="1207"/>
      <c r="M114" s="1156">
        <v>823</v>
      </c>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row>
    <row r="115" spans="1:137" s="364" customFormat="1" ht="15">
      <c r="A115" s="1140"/>
      <c r="B115" s="1280"/>
      <c r="C115" s="742" t="s">
        <v>9</v>
      </c>
      <c r="D115" s="1262">
        <v>914198.01699999999</v>
      </c>
      <c r="E115" s="1162">
        <v>914198.01699999999</v>
      </c>
      <c r="F115" s="1162">
        <v>914198.01699999999</v>
      </c>
      <c r="G115" s="1286">
        <f t="shared" si="15"/>
        <v>1</v>
      </c>
      <c r="H115" s="1157"/>
      <c r="I115" s="1234"/>
      <c r="J115" s="1263"/>
      <c r="K115" s="1141"/>
      <c r="L115" s="1234"/>
      <c r="M115" s="1159"/>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row>
    <row r="116" spans="1:137" s="364" customFormat="1" ht="15">
      <c r="A116" s="1140"/>
      <c r="B116" s="1280"/>
      <c r="C116" s="742" t="s">
        <v>10</v>
      </c>
      <c r="D116" s="1162">
        <v>0</v>
      </c>
      <c r="E116" s="1162">
        <v>0</v>
      </c>
      <c r="F116" s="1162">
        <v>0</v>
      </c>
      <c r="G116" s="1277">
        <v>0</v>
      </c>
      <c r="H116" s="1157"/>
      <c r="I116" s="1234"/>
      <c r="J116" s="1263"/>
      <c r="K116" s="1141"/>
      <c r="L116" s="1234"/>
      <c r="M116" s="1159"/>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row>
    <row r="117" spans="1:137" s="364" customFormat="1" ht="15">
      <c r="A117" s="1140"/>
      <c r="B117" s="1280"/>
      <c r="C117" s="742" t="s">
        <v>11</v>
      </c>
      <c r="D117" s="1162">
        <v>0</v>
      </c>
      <c r="E117" s="1162">
        <v>0</v>
      </c>
      <c r="F117" s="1162">
        <v>0</v>
      </c>
      <c r="G117" s="1277">
        <v>0</v>
      </c>
      <c r="H117" s="1157"/>
      <c r="I117" s="1234"/>
      <c r="J117" s="1263"/>
      <c r="K117" s="1141"/>
      <c r="L117" s="1234"/>
      <c r="M117" s="1159"/>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row>
    <row r="118" spans="1:137" s="364" customFormat="1" ht="25.5" customHeight="1">
      <c r="A118" s="1160"/>
      <c r="B118" s="1283"/>
      <c r="C118" s="742" t="s">
        <v>12</v>
      </c>
      <c r="D118" s="1162">
        <v>0</v>
      </c>
      <c r="E118" s="1162">
        <v>0</v>
      </c>
      <c r="F118" s="1162">
        <v>0</v>
      </c>
      <c r="G118" s="1277">
        <v>0</v>
      </c>
      <c r="H118" s="1161"/>
      <c r="I118" s="1237"/>
      <c r="J118" s="1265"/>
      <c r="K118" s="1141"/>
      <c r="L118" s="1237"/>
      <c r="M118" s="1165"/>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row>
    <row r="119" spans="1:137" s="364" customFormat="1" ht="23.25" customHeight="1">
      <c r="A119" s="1135" t="s">
        <v>200</v>
      </c>
      <c r="B119" s="1276" t="s">
        <v>2862</v>
      </c>
      <c r="C119" s="742" t="s">
        <v>8</v>
      </c>
      <c r="D119" s="1229">
        <v>3588.2</v>
      </c>
      <c r="E119" s="1229">
        <f>SUM(E120:E123)</f>
        <v>3577.3339999999998</v>
      </c>
      <c r="F119" s="1229">
        <f>SUM(F120:F123)</f>
        <v>3577.3339999999998</v>
      </c>
      <c r="G119" s="1286">
        <f t="shared" si="15"/>
        <v>0.99697174070564631</v>
      </c>
      <c r="H119" s="1207" t="s">
        <v>2828</v>
      </c>
      <c r="I119" s="1207" t="s">
        <v>2851</v>
      </c>
      <c r="J119" s="1260" t="s">
        <v>2955</v>
      </c>
      <c r="K119" s="1137" t="s">
        <v>3025</v>
      </c>
      <c r="L119" s="1207"/>
      <c r="M119" s="1156">
        <v>823</v>
      </c>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row>
    <row r="120" spans="1:137" s="364" customFormat="1" ht="24" customHeight="1">
      <c r="A120" s="1140"/>
      <c r="B120" s="1280"/>
      <c r="C120" s="742" t="s">
        <v>9</v>
      </c>
      <c r="D120" s="1262">
        <v>3588.223</v>
      </c>
      <c r="E120" s="1162">
        <v>3577.3339999999998</v>
      </c>
      <c r="F120" s="1162">
        <v>3577.3339999999998</v>
      </c>
      <c r="G120" s="1286">
        <f t="shared" si="15"/>
        <v>0.99696535025833122</v>
      </c>
      <c r="H120" s="1234"/>
      <c r="I120" s="1234"/>
      <c r="J120" s="1263"/>
      <c r="K120" s="1137"/>
      <c r="L120" s="1234"/>
      <c r="M120" s="1159"/>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row>
    <row r="121" spans="1:137" s="364" customFormat="1" ht="22.5" customHeight="1">
      <c r="A121" s="1140"/>
      <c r="B121" s="1280"/>
      <c r="C121" s="742" t="s">
        <v>10</v>
      </c>
      <c r="D121" s="1162">
        <v>0</v>
      </c>
      <c r="E121" s="1162">
        <v>0</v>
      </c>
      <c r="F121" s="1162">
        <v>0</v>
      </c>
      <c r="G121" s="1277">
        <v>0</v>
      </c>
      <c r="H121" s="1234"/>
      <c r="I121" s="1234"/>
      <c r="J121" s="1263"/>
      <c r="K121" s="1137"/>
      <c r="L121" s="1234"/>
      <c r="M121" s="1159"/>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row>
    <row r="122" spans="1:137" s="364" customFormat="1" ht="25.5" customHeight="1">
      <c r="A122" s="1140"/>
      <c r="B122" s="1280"/>
      <c r="C122" s="742" t="s">
        <v>11</v>
      </c>
      <c r="D122" s="1162">
        <v>0</v>
      </c>
      <c r="E122" s="1162">
        <v>0</v>
      </c>
      <c r="F122" s="1162">
        <v>0</v>
      </c>
      <c r="G122" s="1277">
        <v>0</v>
      </c>
      <c r="H122" s="1234"/>
      <c r="I122" s="1234"/>
      <c r="J122" s="1263"/>
      <c r="K122" s="1137"/>
      <c r="L122" s="1234"/>
      <c r="M122" s="1159"/>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row>
    <row r="123" spans="1:137" s="364" customFormat="1" ht="45" customHeight="1">
      <c r="A123" s="1160"/>
      <c r="B123" s="1283"/>
      <c r="C123" s="742" t="s">
        <v>12</v>
      </c>
      <c r="D123" s="1162">
        <v>0</v>
      </c>
      <c r="E123" s="1162">
        <v>0</v>
      </c>
      <c r="F123" s="1162">
        <v>0</v>
      </c>
      <c r="G123" s="1277">
        <v>0</v>
      </c>
      <c r="H123" s="1237"/>
      <c r="I123" s="1237"/>
      <c r="J123" s="1265"/>
      <c r="K123" s="1137"/>
      <c r="L123" s="1237"/>
      <c r="M123" s="1165"/>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row>
    <row r="124" spans="1:137" s="364" customFormat="1" ht="25.5" customHeight="1">
      <c r="A124" s="1135" t="s">
        <v>205</v>
      </c>
      <c r="B124" s="1276" t="s">
        <v>157</v>
      </c>
      <c r="C124" s="742" t="s">
        <v>8</v>
      </c>
      <c r="D124" s="1162">
        <f>SUM(D125:D128)</f>
        <v>82.956999999999994</v>
      </c>
      <c r="E124" s="1162">
        <f>SUM(E125:E128)</f>
        <v>82.956999999999994</v>
      </c>
      <c r="F124" s="1162">
        <f>SUM(F125:F128)</f>
        <v>82.96</v>
      </c>
      <c r="G124" s="1286">
        <f t="shared" si="15"/>
        <v>1.000036163313524</v>
      </c>
      <c r="H124" s="1207" t="s">
        <v>3142</v>
      </c>
      <c r="I124" s="1207" t="s">
        <v>2851</v>
      </c>
      <c r="J124" s="1260" t="s">
        <v>2955</v>
      </c>
      <c r="K124" s="1137" t="s">
        <v>3025</v>
      </c>
      <c r="L124" s="1241"/>
      <c r="M124" s="121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row>
    <row r="125" spans="1:137" s="364" customFormat="1" ht="20.25" customHeight="1">
      <c r="A125" s="1140"/>
      <c r="B125" s="1280"/>
      <c r="C125" s="742" t="s">
        <v>9</v>
      </c>
      <c r="D125" s="1162">
        <v>82.956999999999994</v>
      </c>
      <c r="E125" s="1162">
        <v>82.956999999999994</v>
      </c>
      <c r="F125" s="1162">
        <v>82.96</v>
      </c>
      <c r="G125" s="1286">
        <f t="shared" si="15"/>
        <v>1.000036163313524</v>
      </c>
      <c r="H125" s="1234"/>
      <c r="I125" s="1234"/>
      <c r="J125" s="1263"/>
      <c r="K125" s="1137"/>
      <c r="L125" s="1241"/>
      <c r="M125" s="121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row>
    <row r="126" spans="1:137" s="364" customFormat="1" ht="21.75" customHeight="1">
      <c r="A126" s="1140"/>
      <c r="B126" s="1280"/>
      <c r="C126" s="742" t="s">
        <v>10</v>
      </c>
      <c r="D126" s="1162">
        <v>0</v>
      </c>
      <c r="E126" s="1162">
        <v>0</v>
      </c>
      <c r="F126" s="1162">
        <v>0</v>
      </c>
      <c r="G126" s="1286" t="e">
        <f t="shared" si="15"/>
        <v>#DIV/0!</v>
      </c>
      <c r="H126" s="1234"/>
      <c r="I126" s="1234"/>
      <c r="J126" s="1263"/>
      <c r="K126" s="1137"/>
      <c r="L126" s="1241"/>
      <c r="M126" s="121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row>
    <row r="127" spans="1:137" s="364" customFormat="1" ht="23.25" customHeight="1">
      <c r="A127" s="1140"/>
      <c r="B127" s="1280"/>
      <c r="C127" s="742" t="s">
        <v>11</v>
      </c>
      <c r="D127" s="1162">
        <v>0</v>
      </c>
      <c r="E127" s="1162">
        <v>0</v>
      </c>
      <c r="F127" s="1162">
        <v>0</v>
      </c>
      <c r="G127" s="1286" t="e">
        <f t="shared" si="15"/>
        <v>#DIV/0!</v>
      </c>
      <c r="H127" s="1234"/>
      <c r="I127" s="1234"/>
      <c r="J127" s="1263"/>
      <c r="K127" s="1137"/>
      <c r="L127" s="1241"/>
      <c r="M127" s="121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row>
    <row r="128" spans="1:137" s="364" customFormat="1" ht="15" customHeight="1">
      <c r="A128" s="1160"/>
      <c r="B128" s="1283"/>
      <c r="C128" s="742" t="s">
        <v>12</v>
      </c>
      <c r="D128" s="1162">
        <v>0</v>
      </c>
      <c r="E128" s="1162">
        <v>0</v>
      </c>
      <c r="F128" s="1162">
        <v>0</v>
      </c>
      <c r="G128" s="1286" t="e">
        <f t="shared" si="15"/>
        <v>#DIV/0!</v>
      </c>
      <c r="H128" s="1237"/>
      <c r="I128" s="1237"/>
      <c r="J128" s="1265"/>
      <c r="K128" s="1137"/>
      <c r="L128" s="1241"/>
      <c r="M128" s="121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row>
    <row r="129" spans="1:13" ht="15">
      <c r="A129" s="1294" t="s">
        <v>2909</v>
      </c>
      <c r="B129" s="1295" t="s">
        <v>3024</v>
      </c>
      <c r="C129" s="711" t="s">
        <v>8</v>
      </c>
      <c r="D129" s="1296">
        <v>35337.440000000002</v>
      </c>
      <c r="E129" s="1189">
        <f>SUM(E130:E133)</f>
        <v>35337.442999999999</v>
      </c>
      <c r="F129" s="1189">
        <f>SUM(F130:F133)</f>
        <v>35337.442999999999</v>
      </c>
      <c r="G129" s="1297">
        <f t="shared" ref="G129:G139" si="17">F129/D129</f>
        <v>1.0000000848957931</v>
      </c>
      <c r="H129" s="1207" t="s">
        <v>3028</v>
      </c>
      <c r="I129" s="1199" t="s">
        <v>3133</v>
      </c>
      <c r="J129" s="1260" t="s">
        <v>2955</v>
      </c>
      <c r="K129" s="1136" t="s">
        <v>3025</v>
      </c>
      <c r="L129" s="1199"/>
      <c r="M129" s="1156">
        <v>823</v>
      </c>
    </row>
    <row r="130" spans="1:13" ht="15">
      <c r="A130" s="1294"/>
      <c r="B130" s="1298"/>
      <c r="C130" s="711" t="s">
        <v>9</v>
      </c>
      <c r="D130" s="1296">
        <v>35337.442999999999</v>
      </c>
      <c r="E130" s="1189">
        <v>35337.442999999999</v>
      </c>
      <c r="F130" s="1189">
        <v>35337.442999999999</v>
      </c>
      <c r="G130" s="1297">
        <f t="shared" si="17"/>
        <v>1</v>
      </c>
      <c r="H130" s="1225"/>
      <c r="I130" s="1299"/>
      <c r="J130" s="1263"/>
      <c r="K130" s="1141"/>
      <c r="L130" s="1299"/>
      <c r="M130" s="1159"/>
    </row>
    <row r="131" spans="1:13" ht="15">
      <c r="A131" s="1294"/>
      <c r="B131" s="1298"/>
      <c r="C131" s="711" t="s">
        <v>10</v>
      </c>
      <c r="D131" s="1296">
        <v>0</v>
      </c>
      <c r="E131" s="1189">
        <v>0</v>
      </c>
      <c r="F131" s="1189">
        <v>0</v>
      </c>
      <c r="G131" s="1297" t="e">
        <f t="shared" si="17"/>
        <v>#DIV/0!</v>
      </c>
      <c r="H131" s="1225"/>
      <c r="I131" s="1299"/>
      <c r="J131" s="1263"/>
      <c r="K131" s="1141"/>
      <c r="L131" s="1299"/>
      <c r="M131" s="1159"/>
    </row>
    <row r="132" spans="1:13" ht="15">
      <c r="A132" s="1294"/>
      <c r="B132" s="1298"/>
      <c r="C132" s="711" t="s">
        <v>11</v>
      </c>
      <c r="D132" s="1296">
        <v>0</v>
      </c>
      <c r="E132" s="1189">
        <v>0</v>
      </c>
      <c r="F132" s="1189">
        <v>0</v>
      </c>
      <c r="G132" s="1297" t="e">
        <f t="shared" si="17"/>
        <v>#DIV/0!</v>
      </c>
      <c r="H132" s="1225"/>
      <c r="I132" s="1299"/>
      <c r="J132" s="1263"/>
      <c r="K132" s="1141"/>
      <c r="L132" s="1299"/>
      <c r="M132" s="1159"/>
    </row>
    <row r="133" spans="1:13" ht="15">
      <c r="A133" s="1294"/>
      <c r="B133" s="1300"/>
      <c r="C133" s="711" t="s">
        <v>12</v>
      </c>
      <c r="D133" s="1296">
        <v>0</v>
      </c>
      <c r="E133" s="1189">
        <v>0</v>
      </c>
      <c r="F133" s="1189">
        <v>0</v>
      </c>
      <c r="G133" s="1297" t="e">
        <f t="shared" si="17"/>
        <v>#DIV/0!</v>
      </c>
      <c r="H133" s="1227"/>
      <c r="I133" s="1301"/>
      <c r="J133" s="1265"/>
      <c r="K133" s="1141"/>
      <c r="L133" s="1301"/>
      <c r="M133" s="1165"/>
    </row>
    <row r="134" spans="1:13" ht="15.75" customHeight="1">
      <c r="A134" s="1302" t="s">
        <v>3144</v>
      </c>
      <c r="B134" s="1295" t="s">
        <v>3143</v>
      </c>
      <c r="C134" s="711" t="s">
        <v>8</v>
      </c>
      <c r="D134" s="1296">
        <f>SUM(D135:D138)</f>
        <v>900</v>
      </c>
      <c r="E134" s="1189">
        <f>SUM(E135:E138)</f>
        <v>840</v>
      </c>
      <c r="F134" s="1189">
        <f>SUM(F135:F138)</f>
        <v>840</v>
      </c>
      <c r="G134" s="1297">
        <f t="shared" si="17"/>
        <v>0.93333333333333335</v>
      </c>
      <c r="H134" s="1303" t="s">
        <v>3145</v>
      </c>
      <c r="I134" s="1303" t="s">
        <v>3184</v>
      </c>
      <c r="J134" s="1304" t="s">
        <v>2959</v>
      </c>
      <c r="K134" s="1136" t="s">
        <v>2813</v>
      </c>
      <c r="L134" s="1303"/>
      <c r="M134" s="1216"/>
    </row>
    <row r="135" spans="1:13" ht="15.75" customHeight="1">
      <c r="A135" s="1305"/>
      <c r="B135" s="1298"/>
      <c r="C135" s="711" t="s">
        <v>9</v>
      </c>
      <c r="D135" s="1296">
        <v>900</v>
      </c>
      <c r="E135" s="1189">
        <v>840</v>
      </c>
      <c r="F135" s="1189">
        <v>840</v>
      </c>
      <c r="G135" s="1297">
        <f t="shared" si="17"/>
        <v>0.93333333333333335</v>
      </c>
      <c r="H135" s="1299"/>
      <c r="I135" s="1299"/>
      <c r="J135" s="1304"/>
      <c r="K135" s="1141"/>
      <c r="L135" s="1299"/>
      <c r="M135" s="1216"/>
    </row>
    <row r="136" spans="1:13" ht="15.75" customHeight="1">
      <c r="A136" s="1305"/>
      <c r="B136" s="1298"/>
      <c r="C136" s="711" t="s">
        <v>10</v>
      </c>
      <c r="D136" s="1296">
        <v>0</v>
      </c>
      <c r="E136" s="1189">
        <v>0</v>
      </c>
      <c r="F136" s="1189">
        <v>0</v>
      </c>
      <c r="G136" s="1297" t="e">
        <f t="shared" si="17"/>
        <v>#DIV/0!</v>
      </c>
      <c r="H136" s="1299"/>
      <c r="I136" s="1299"/>
      <c r="J136" s="1304"/>
      <c r="K136" s="1141"/>
      <c r="L136" s="1299"/>
      <c r="M136" s="1216"/>
    </row>
    <row r="137" spans="1:13" ht="15.75" customHeight="1">
      <c r="A137" s="1305"/>
      <c r="B137" s="1298"/>
      <c r="C137" s="711" t="s">
        <v>11</v>
      </c>
      <c r="D137" s="1296">
        <v>0</v>
      </c>
      <c r="E137" s="1189">
        <v>0</v>
      </c>
      <c r="F137" s="1189">
        <v>0</v>
      </c>
      <c r="G137" s="1297" t="e">
        <f t="shared" si="17"/>
        <v>#DIV/0!</v>
      </c>
      <c r="H137" s="1299"/>
      <c r="I137" s="1299"/>
      <c r="J137" s="1304"/>
      <c r="K137" s="1141"/>
      <c r="L137" s="1299"/>
      <c r="M137" s="1216"/>
    </row>
    <row r="138" spans="1:13" ht="15.75" customHeight="1">
      <c r="A138" s="1306"/>
      <c r="B138" s="1300"/>
      <c r="C138" s="711" t="s">
        <v>12</v>
      </c>
      <c r="D138" s="1296">
        <v>0</v>
      </c>
      <c r="E138" s="1189">
        <v>0</v>
      </c>
      <c r="F138" s="1189">
        <v>0</v>
      </c>
      <c r="G138" s="1297" t="e">
        <f t="shared" si="17"/>
        <v>#DIV/0!</v>
      </c>
      <c r="H138" s="1301"/>
      <c r="I138" s="1301"/>
      <c r="J138" s="1304"/>
      <c r="K138" s="1141"/>
      <c r="L138" s="1301"/>
      <c r="M138" s="1216"/>
    </row>
    <row r="139" spans="1:13" ht="15" customHeight="1">
      <c r="A139" s="1302" t="s">
        <v>2910</v>
      </c>
      <c r="B139" s="1295" t="s">
        <v>2911</v>
      </c>
      <c r="C139" s="711" t="s">
        <v>8</v>
      </c>
      <c r="D139" s="1296">
        <v>24779.200000000001</v>
      </c>
      <c r="E139" s="1189">
        <v>24779.200000000001</v>
      </c>
      <c r="F139" s="1189">
        <v>24779.200000000001</v>
      </c>
      <c r="G139" s="1297">
        <f t="shared" si="17"/>
        <v>1</v>
      </c>
      <c r="H139" s="1295" t="s">
        <v>2911</v>
      </c>
      <c r="I139" s="1295" t="s">
        <v>3019</v>
      </c>
      <c r="J139" s="1260" t="s">
        <v>2955</v>
      </c>
      <c r="K139" s="1136" t="s">
        <v>2813</v>
      </c>
      <c r="L139" s="1199"/>
      <c r="M139" s="1156">
        <v>823</v>
      </c>
    </row>
    <row r="140" spans="1:13" ht="15">
      <c r="A140" s="1305"/>
      <c r="B140" s="1298"/>
      <c r="C140" s="711" t="s">
        <v>9</v>
      </c>
      <c r="D140" s="1296">
        <v>24779.228999999999</v>
      </c>
      <c r="E140" s="1189">
        <v>24779.228999999999</v>
      </c>
      <c r="F140" s="1189">
        <v>24779.228999999999</v>
      </c>
      <c r="G140" s="1297">
        <f t="shared" ref="G140:G143" si="18">F140/D140</f>
        <v>1</v>
      </c>
      <c r="H140" s="1298"/>
      <c r="I140" s="1298"/>
      <c r="J140" s="1299"/>
      <c r="K140" s="1141"/>
      <c r="L140" s="1299"/>
      <c r="M140" s="1159"/>
    </row>
    <row r="141" spans="1:13" ht="15">
      <c r="A141" s="1305"/>
      <c r="B141" s="1298"/>
      <c r="C141" s="711" t="s">
        <v>10</v>
      </c>
      <c r="D141" s="1296">
        <v>0</v>
      </c>
      <c r="E141" s="1189">
        <v>0</v>
      </c>
      <c r="F141" s="1189">
        <v>0</v>
      </c>
      <c r="G141" s="1297" t="e">
        <f t="shared" si="18"/>
        <v>#DIV/0!</v>
      </c>
      <c r="H141" s="1298"/>
      <c r="I141" s="1298"/>
      <c r="J141" s="1299"/>
      <c r="K141" s="1141"/>
      <c r="L141" s="1299"/>
      <c r="M141" s="1159"/>
    </row>
    <row r="142" spans="1:13" ht="15">
      <c r="A142" s="1305"/>
      <c r="B142" s="1298"/>
      <c r="C142" s="711" t="s">
        <v>11</v>
      </c>
      <c r="D142" s="1296">
        <v>0</v>
      </c>
      <c r="E142" s="1189">
        <v>0</v>
      </c>
      <c r="F142" s="1189">
        <v>0</v>
      </c>
      <c r="G142" s="1297" t="e">
        <f t="shared" si="18"/>
        <v>#DIV/0!</v>
      </c>
      <c r="H142" s="1298"/>
      <c r="I142" s="1298"/>
      <c r="J142" s="1299"/>
      <c r="K142" s="1141"/>
      <c r="L142" s="1299"/>
      <c r="M142" s="1159"/>
    </row>
    <row r="143" spans="1:13" ht="15">
      <c r="A143" s="1306"/>
      <c r="B143" s="1300"/>
      <c r="C143" s="711" t="s">
        <v>12</v>
      </c>
      <c r="D143" s="1296">
        <v>0</v>
      </c>
      <c r="E143" s="1189">
        <v>0</v>
      </c>
      <c r="F143" s="1189">
        <v>0</v>
      </c>
      <c r="G143" s="1297" t="e">
        <f t="shared" si="18"/>
        <v>#DIV/0!</v>
      </c>
      <c r="H143" s="1300"/>
      <c r="I143" s="1300"/>
      <c r="J143" s="1301"/>
      <c r="K143" s="1141"/>
      <c r="L143" s="1301"/>
      <c r="M143" s="1165"/>
    </row>
    <row r="144" spans="1:13" ht="15">
      <c r="A144" s="1302" t="s">
        <v>2912</v>
      </c>
      <c r="B144" s="1295" t="s">
        <v>2913</v>
      </c>
      <c r="C144" s="711" t="s">
        <v>8</v>
      </c>
      <c r="D144" s="1296">
        <v>17927.900000000001</v>
      </c>
      <c r="E144" s="1189">
        <v>15733.21</v>
      </c>
      <c r="F144" s="1189">
        <v>15733.21</v>
      </c>
      <c r="G144" s="1307">
        <f t="shared" ref="G144:G158" si="19">F144/D144</f>
        <v>0.87758242738971093</v>
      </c>
      <c r="H144" s="1207" t="s">
        <v>3135</v>
      </c>
      <c r="I144" s="1207" t="s">
        <v>3134</v>
      </c>
      <c r="J144" s="1260" t="s">
        <v>2955</v>
      </c>
      <c r="K144" s="1136" t="s">
        <v>2968</v>
      </c>
      <c r="L144" s="1199" t="s">
        <v>3138</v>
      </c>
      <c r="M144" s="1156">
        <v>823</v>
      </c>
    </row>
    <row r="145" spans="1:137" ht="15">
      <c r="A145" s="1305"/>
      <c r="B145" s="1298"/>
      <c r="C145" s="711" t="s">
        <v>9</v>
      </c>
      <c r="D145" s="1296">
        <v>17927.900000000001</v>
      </c>
      <c r="E145" s="1189">
        <v>15733.21</v>
      </c>
      <c r="F145" s="1189">
        <v>15733.21</v>
      </c>
      <c r="G145" s="1307">
        <f t="shared" si="19"/>
        <v>0.87758242738971093</v>
      </c>
      <c r="H145" s="1225"/>
      <c r="I145" s="1225"/>
      <c r="J145" s="1299"/>
      <c r="K145" s="1141"/>
      <c r="L145" s="1299"/>
      <c r="M145" s="1159"/>
    </row>
    <row r="146" spans="1:137" ht="15">
      <c r="A146" s="1305"/>
      <c r="B146" s="1298"/>
      <c r="C146" s="711" t="s">
        <v>10</v>
      </c>
      <c r="D146" s="1296">
        <v>0</v>
      </c>
      <c r="E146" s="1189">
        <v>0</v>
      </c>
      <c r="F146" s="1189">
        <v>0</v>
      </c>
      <c r="G146" s="1307" t="e">
        <f t="shared" si="19"/>
        <v>#DIV/0!</v>
      </c>
      <c r="H146" s="1225"/>
      <c r="I146" s="1225"/>
      <c r="J146" s="1299"/>
      <c r="K146" s="1141"/>
      <c r="L146" s="1299"/>
      <c r="M146" s="1159"/>
    </row>
    <row r="147" spans="1:137" ht="15">
      <c r="A147" s="1305"/>
      <c r="B147" s="1298"/>
      <c r="C147" s="711" t="s">
        <v>11</v>
      </c>
      <c r="D147" s="1296"/>
      <c r="E147" s="1189">
        <v>0</v>
      </c>
      <c r="F147" s="1189">
        <v>0</v>
      </c>
      <c r="G147" s="1307" t="e">
        <f t="shared" si="19"/>
        <v>#DIV/0!</v>
      </c>
      <c r="H147" s="1225"/>
      <c r="I147" s="1225"/>
      <c r="J147" s="1299"/>
      <c r="K147" s="1141"/>
      <c r="L147" s="1299"/>
      <c r="M147" s="1159"/>
    </row>
    <row r="148" spans="1:137" ht="15">
      <c r="A148" s="1306"/>
      <c r="B148" s="1300"/>
      <c r="C148" s="711" t="s">
        <v>12</v>
      </c>
      <c r="D148" s="1296"/>
      <c r="E148" s="1189">
        <v>0</v>
      </c>
      <c r="F148" s="1189">
        <v>0</v>
      </c>
      <c r="G148" s="1307" t="e">
        <f t="shared" si="19"/>
        <v>#DIV/0!</v>
      </c>
      <c r="H148" s="1227"/>
      <c r="I148" s="1227"/>
      <c r="J148" s="1301"/>
      <c r="K148" s="1141"/>
      <c r="L148" s="1301"/>
      <c r="M148" s="1165"/>
    </row>
    <row r="149" spans="1:137" ht="15">
      <c r="A149" s="1302" t="s">
        <v>2914</v>
      </c>
      <c r="B149" s="1295" t="s">
        <v>2915</v>
      </c>
      <c r="C149" s="711" t="s">
        <v>8</v>
      </c>
      <c r="D149" s="1296">
        <v>82491</v>
      </c>
      <c r="E149" s="1189">
        <v>82491</v>
      </c>
      <c r="F149" s="1189">
        <v>82491</v>
      </c>
      <c r="G149" s="1307">
        <f t="shared" si="19"/>
        <v>1</v>
      </c>
      <c r="H149" s="1295" t="s">
        <v>2966</v>
      </c>
      <c r="I149" s="1295" t="s">
        <v>3096</v>
      </c>
      <c r="J149" s="1260" t="s">
        <v>2955</v>
      </c>
      <c r="K149" s="1136" t="s">
        <v>2967</v>
      </c>
      <c r="L149" s="1199"/>
      <c r="M149" s="1156">
        <v>823</v>
      </c>
    </row>
    <row r="150" spans="1:137" ht="15">
      <c r="A150" s="1305"/>
      <c r="B150" s="1298"/>
      <c r="C150" s="711" t="s">
        <v>9</v>
      </c>
      <c r="D150" s="1296">
        <v>82491</v>
      </c>
      <c r="E150" s="1189">
        <v>82491</v>
      </c>
      <c r="F150" s="1189">
        <v>82491</v>
      </c>
      <c r="G150" s="1307">
        <f t="shared" si="19"/>
        <v>1</v>
      </c>
      <c r="H150" s="1298"/>
      <c r="I150" s="1298"/>
      <c r="J150" s="1299"/>
      <c r="K150" s="1141"/>
      <c r="L150" s="1299"/>
      <c r="M150" s="1159"/>
    </row>
    <row r="151" spans="1:137" ht="15">
      <c r="A151" s="1305"/>
      <c r="B151" s="1298"/>
      <c r="C151" s="711" t="s">
        <v>10</v>
      </c>
      <c r="D151" s="1296">
        <v>0</v>
      </c>
      <c r="E151" s="1189">
        <v>0</v>
      </c>
      <c r="F151" s="1189">
        <v>0</v>
      </c>
      <c r="G151" s="1307" t="e">
        <f t="shared" si="19"/>
        <v>#DIV/0!</v>
      </c>
      <c r="H151" s="1298"/>
      <c r="I151" s="1298"/>
      <c r="J151" s="1299"/>
      <c r="K151" s="1141"/>
      <c r="L151" s="1299"/>
      <c r="M151" s="1159"/>
    </row>
    <row r="152" spans="1:137" ht="15">
      <c r="A152" s="1305"/>
      <c r="B152" s="1298"/>
      <c r="C152" s="711" t="s">
        <v>11</v>
      </c>
      <c r="D152" s="1296">
        <v>0</v>
      </c>
      <c r="E152" s="1189">
        <v>0</v>
      </c>
      <c r="F152" s="1189">
        <v>0</v>
      </c>
      <c r="G152" s="1307" t="e">
        <f t="shared" si="19"/>
        <v>#DIV/0!</v>
      </c>
      <c r="H152" s="1298"/>
      <c r="I152" s="1298"/>
      <c r="J152" s="1299"/>
      <c r="K152" s="1141"/>
      <c r="L152" s="1299"/>
      <c r="M152" s="1159"/>
    </row>
    <row r="153" spans="1:137" ht="15">
      <c r="A153" s="1306"/>
      <c r="B153" s="1300"/>
      <c r="C153" s="711" t="s">
        <v>12</v>
      </c>
      <c r="D153" s="1296">
        <v>0</v>
      </c>
      <c r="E153" s="1189">
        <v>0</v>
      </c>
      <c r="F153" s="1189">
        <v>0</v>
      </c>
      <c r="G153" s="1307" t="e">
        <f t="shared" si="19"/>
        <v>#DIV/0!</v>
      </c>
      <c r="H153" s="1300"/>
      <c r="I153" s="1300"/>
      <c r="J153" s="1301"/>
      <c r="K153" s="1141"/>
      <c r="L153" s="1301"/>
      <c r="M153" s="1165"/>
    </row>
    <row r="154" spans="1:137" ht="15.75" customHeight="1">
      <c r="A154" s="1302" t="s">
        <v>3147</v>
      </c>
      <c r="B154" s="1295" t="s">
        <v>3146</v>
      </c>
      <c r="C154" s="711" t="s">
        <v>8</v>
      </c>
      <c r="D154" s="1296">
        <f>SUM(D155:D158)</f>
        <v>3486.1</v>
      </c>
      <c r="E154" s="1296">
        <f>SUM(E155:E158)</f>
        <v>3486.1</v>
      </c>
      <c r="F154" s="1189">
        <f>SUM(F155:F158)</f>
        <v>3486.1</v>
      </c>
      <c r="G154" s="1307">
        <f t="shared" si="19"/>
        <v>1</v>
      </c>
      <c r="H154" s="1295" t="s">
        <v>3163</v>
      </c>
      <c r="I154" s="1295" t="s">
        <v>3148</v>
      </c>
      <c r="J154" s="1260" t="s">
        <v>2955</v>
      </c>
      <c r="K154" s="1136" t="s">
        <v>2967</v>
      </c>
      <c r="L154" s="1308"/>
      <c r="M154" s="1216"/>
    </row>
    <row r="155" spans="1:137" ht="15.75" customHeight="1">
      <c r="A155" s="1305"/>
      <c r="B155" s="1298"/>
      <c r="C155" s="711" t="s">
        <v>9</v>
      </c>
      <c r="D155" s="1296">
        <v>3486.1</v>
      </c>
      <c r="E155" s="1296">
        <v>3486.1</v>
      </c>
      <c r="F155" s="1189">
        <v>3486.1</v>
      </c>
      <c r="G155" s="1307">
        <f t="shared" si="19"/>
        <v>1</v>
      </c>
      <c r="H155" s="1298"/>
      <c r="I155" s="1298"/>
      <c r="J155" s="1299"/>
      <c r="K155" s="1141"/>
      <c r="L155" s="1308"/>
      <c r="M155" s="1216"/>
    </row>
    <row r="156" spans="1:137" ht="15.75" customHeight="1">
      <c r="A156" s="1305"/>
      <c r="B156" s="1298"/>
      <c r="C156" s="711" t="s">
        <v>10</v>
      </c>
      <c r="D156" s="1296">
        <v>0</v>
      </c>
      <c r="E156" s="1296">
        <v>0</v>
      </c>
      <c r="F156" s="1296">
        <v>0</v>
      </c>
      <c r="G156" s="1307" t="e">
        <f t="shared" si="19"/>
        <v>#DIV/0!</v>
      </c>
      <c r="H156" s="1298"/>
      <c r="I156" s="1298"/>
      <c r="J156" s="1299"/>
      <c r="K156" s="1141"/>
      <c r="L156" s="1308"/>
      <c r="M156" s="1216"/>
    </row>
    <row r="157" spans="1:137" ht="15.75" customHeight="1">
      <c r="A157" s="1305"/>
      <c r="B157" s="1298"/>
      <c r="C157" s="711" t="s">
        <v>11</v>
      </c>
      <c r="D157" s="1296">
        <v>0</v>
      </c>
      <c r="E157" s="1296">
        <v>0</v>
      </c>
      <c r="F157" s="1296">
        <v>0</v>
      </c>
      <c r="G157" s="1307" t="e">
        <f t="shared" si="19"/>
        <v>#DIV/0!</v>
      </c>
      <c r="H157" s="1298"/>
      <c r="I157" s="1298"/>
      <c r="J157" s="1299"/>
      <c r="K157" s="1141"/>
      <c r="L157" s="1308"/>
      <c r="M157" s="1216"/>
    </row>
    <row r="158" spans="1:137" ht="15.75" customHeight="1">
      <c r="A158" s="1306"/>
      <c r="B158" s="1300"/>
      <c r="C158" s="711" t="s">
        <v>12</v>
      </c>
      <c r="D158" s="1296">
        <v>0</v>
      </c>
      <c r="E158" s="1296">
        <v>0</v>
      </c>
      <c r="F158" s="1296">
        <v>0</v>
      </c>
      <c r="G158" s="1307" t="e">
        <f t="shared" si="19"/>
        <v>#DIV/0!</v>
      </c>
      <c r="H158" s="1300"/>
      <c r="I158" s="1300"/>
      <c r="J158" s="1301"/>
      <c r="K158" s="1141"/>
      <c r="L158" s="1308"/>
      <c r="M158" s="1216"/>
    </row>
    <row r="159" spans="1:137" s="364" customFormat="1">
      <c r="A159" s="1135" t="s">
        <v>176</v>
      </c>
      <c r="B159" s="1309" t="s">
        <v>2916</v>
      </c>
      <c r="C159" s="742" t="s">
        <v>8</v>
      </c>
      <c r="D159" s="1151">
        <v>67577.2</v>
      </c>
      <c r="E159" s="1162">
        <f>SUM(E160:E163)</f>
        <v>67577.2</v>
      </c>
      <c r="F159" s="1162">
        <f>SUM(F160:F163)</f>
        <v>67577.2</v>
      </c>
      <c r="G159" s="1152">
        <f t="shared" si="15"/>
        <v>1</v>
      </c>
      <c r="H159" s="1136" t="s">
        <v>2829</v>
      </c>
      <c r="I159" s="1154" t="s">
        <v>268</v>
      </c>
      <c r="J159" s="1191">
        <v>2</v>
      </c>
      <c r="K159" s="1137" t="s">
        <v>2815</v>
      </c>
      <c r="L159" s="1310"/>
      <c r="M159" s="1156">
        <v>823</v>
      </c>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row>
    <row r="160" spans="1:137" s="364" customFormat="1" ht="29.25" customHeight="1">
      <c r="A160" s="1140"/>
      <c r="B160" s="1311"/>
      <c r="C160" s="742" t="s">
        <v>9</v>
      </c>
      <c r="D160" s="1213">
        <v>47800</v>
      </c>
      <c r="E160" s="1213">
        <f>SUM(E165,E170)</f>
        <v>47800</v>
      </c>
      <c r="F160" s="1213">
        <f>SUM(F165,F170)</f>
        <v>47800</v>
      </c>
      <c r="G160" s="1152">
        <f t="shared" si="15"/>
        <v>1</v>
      </c>
      <c r="H160" s="1141"/>
      <c r="I160" s="1154" t="s">
        <v>269</v>
      </c>
      <c r="J160" s="1191">
        <v>2</v>
      </c>
      <c r="K160" s="1137"/>
      <c r="L160" s="1310"/>
      <c r="M160" s="1159"/>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row>
    <row r="161" spans="1:137" s="364" customFormat="1" ht="33" customHeight="1">
      <c r="A161" s="1140"/>
      <c r="B161" s="1311"/>
      <c r="C161" s="742" t="s">
        <v>10</v>
      </c>
      <c r="D161" s="1213">
        <v>0</v>
      </c>
      <c r="E161" s="1213">
        <v>0</v>
      </c>
      <c r="F161" s="1213">
        <v>0</v>
      </c>
      <c r="G161" s="1152">
        <v>0</v>
      </c>
      <c r="H161" s="1141"/>
      <c r="I161" s="1154" t="s">
        <v>270</v>
      </c>
      <c r="J161" s="1191">
        <v>0</v>
      </c>
      <c r="K161" s="1137"/>
      <c r="L161" s="1310"/>
      <c r="M161" s="1159"/>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row>
    <row r="162" spans="1:137" s="364" customFormat="1" ht="28.5" customHeight="1">
      <c r="A162" s="1140"/>
      <c r="B162" s="1311"/>
      <c r="C162" s="742" t="s">
        <v>11</v>
      </c>
      <c r="D162" s="1213">
        <v>19777.2</v>
      </c>
      <c r="E162" s="1213">
        <f>SUM(E167,E172)</f>
        <v>19777.2</v>
      </c>
      <c r="F162" s="1213">
        <v>19777.2</v>
      </c>
      <c r="G162" s="1152">
        <f t="shared" si="15"/>
        <v>1</v>
      </c>
      <c r="H162" s="1141"/>
      <c r="I162" s="1154" t="s">
        <v>271</v>
      </c>
      <c r="J162" s="1191">
        <v>0</v>
      </c>
      <c r="K162" s="1137"/>
      <c r="L162" s="1310"/>
      <c r="M162" s="1159"/>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row>
    <row r="163" spans="1:137" s="364" customFormat="1" ht="39.75" customHeight="1">
      <c r="A163" s="1160"/>
      <c r="B163" s="1312"/>
      <c r="C163" s="742" t="s">
        <v>12</v>
      </c>
      <c r="D163" s="1213">
        <v>0</v>
      </c>
      <c r="E163" s="1213">
        <v>0</v>
      </c>
      <c r="F163" s="1213">
        <v>0</v>
      </c>
      <c r="G163" s="1152">
        <v>0</v>
      </c>
      <c r="H163" s="1147"/>
      <c r="I163" s="1154" t="s">
        <v>272</v>
      </c>
      <c r="J163" s="1258">
        <f>(J160+0.5*J161)/J159</f>
        <v>1</v>
      </c>
      <c r="K163" s="1137"/>
      <c r="L163" s="1310"/>
      <c r="M163" s="1165"/>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row>
    <row r="164" spans="1:137" s="364" customFormat="1" ht="42.75" customHeight="1">
      <c r="A164" s="1135" t="s">
        <v>58</v>
      </c>
      <c r="B164" s="1204" t="s">
        <v>2917</v>
      </c>
      <c r="C164" s="742" t="s">
        <v>8</v>
      </c>
      <c r="D164" s="1166">
        <v>9846.2000000000007</v>
      </c>
      <c r="E164" s="1229">
        <f>SUM(E165:E168)</f>
        <v>9846.2000000000007</v>
      </c>
      <c r="F164" s="1229">
        <f>SUM(F165:F168)</f>
        <v>9846.2000000000007</v>
      </c>
      <c r="G164" s="1152">
        <f t="shared" si="15"/>
        <v>1</v>
      </c>
      <c r="H164" s="1207" t="s">
        <v>2830</v>
      </c>
      <c r="I164" s="1207" t="s">
        <v>2879</v>
      </c>
      <c r="J164" s="1260" t="s">
        <v>2955</v>
      </c>
      <c r="K164" s="1185" t="s">
        <v>2853</v>
      </c>
      <c r="L164" s="1150"/>
      <c r="M164" s="1156">
        <v>823</v>
      </c>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row>
    <row r="165" spans="1:137" s="364" customFormat="1" ht="35.25" customHeight="1">
      <c r="A165" s="1140"/>
      <c r="B165" s="1313"/>
      <c r="C165" s="742" t="s">
        <v>9</v>
      </c>
      <c r="D165" s="1314">
        <v>6400</v>
      </c>
      <c r="E165" s="1232">
        <v>6400</v>
      </c>
      <c r="F165" s="1232">
        <v>6400</v>
      </c>
      <c r="G165" s="1152">
        <f t="shared" si="15"/>
        <v>1</v>
      </c>
      <c r="H165" s="1234"/>
      <c r="I165" s="1234" t="s">
        <v>269</v>
      </c>
      <c r="J165" s="1299"/>
      <c r="K165" s="1192"/>
      <c r="L165" s="1157"/>
      <c r="M165" s="1159"/>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row>
    <row r="166" spans="1:137" s="364" customFormat="1" ht="37.5" customHeight="1">
      <c r="A166" s="1140"/>
      <c r="B166" s="1313"/>
      <c r="C166" s="742" t="s">
        <v>10</v>
      </c>
      <c r="D166" s="1162">
        <v>0</v>
      </c>
      <c r="E166" s="1232">
        <v>0</v>
      </c>
      <c r="F166" s="1232">
        <v>0</v>
      </c>
      <c r="G166" s="1152">
        <v>0</v>
      </c>
      <c r="H166" s="1234"/>
      <c r="I166" s="1234" t="s">
        <v>270</v>
      </c>
      <c r="J166" s="1299"/>
      <c r="K166" s="1192"/>
      <c r="L166" s="1157"/>
      <c r="M166" s="1159"/>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row>
    <row r="167" spans="1:137" s="364" customFormat="1" ht="34.5" customHeight="1">
      <c r="A167" s="1140"/>
      <c r="B167" s="1313"/>
      <c r="C167" s="742" t="s">
        <v>11</v>
      </c>
      <c r="D167" s="1162">
        <v>3446.2</v>
      </c>
      <c r="E167" s="1232">
        <v>3446.2</v>
      </c>
      <c r="F167" s="1232">
        <v>3446.2</v>
      </c>
      <c r="G167" s="1152">
        <f t="shared" si="15"/>
        <v>1</v>
      </c>
      <c r="H167" s="1234"/>
      <c r="I167" s="1234" t="s">
        <v>271</v>
      </c>
      <c r="J167" s="1299"/>
      <c r="K167" s="1192"/>
      <c r="L167" s="1157"/>
      <c r="M167" s="1159"/>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row>
    <row r="168" spans="1:137" s="364" customFormat="1" ht="38.25" customHeight="1">
      <c r="A168" s="1160"/>
      <c r="B168" s="1315"/>
      <c r="C168" s="742" t="s">
        <v>12</v>
      </c>
      <c r="D168" s="1162">
        <v>0</v>
      </c>
      <c r="E168" s="1232">
        <v>0</v>
      </c>
      <c r="F168" s="1232">
        <v>0</v>
      </c>
      <c r="G168" s="1152">
        <v>0</v>
      </c>
      <c r="H168" s="1237"/>
      <c r="I168" s="1237" t="s">
        <v>272</v>
      </c>
      <c r="J168" s="1301"/>
      <c r="K168" s="1250"/>
      <c r="L168" s="1161"/>
      <c r="M168" s="1165"/>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row>
    <row r="169" spans="1:137" s="364" customFormat="1" ht="31.5" customHeight="1">
      <c r="A169" s="1169" t="s">
        <v>67</v>
      </c>
      <c r="B169" s="1198" t="s">
        <v>2831</v>
      </c>
      <c r="C169" s="1171" t="s">
        <v>8</v>
      </c>
      <c r="D169" s="1166">
        <v>57731</v>
      </c>
      <c r="E169" s="1229">
        <f>SUM(E170:E173)</f>
        <v>57731</v>
      </c>
      <c r="F169" s="1229">
        <f>SUM(F170:F173)</f>
        <v>57731</v>
      </c>
      <c r="G169" s="1152">
        <f t="shared" ref="G169:G172" si="20">F169/D169</f>
        <v>1</v>
      </c>
      <c r="H169" s="1207" t="s">
        <v>2832</v>
      </c>
      <c r="I169" s="1207" t="s">
        <v>2863</v>
      </c>
      <c r="J169" s="1260" t="s">
        <v>2955</v>
      </c>
      <c r="K169" s="1136" t="s">
        <v>2813</v>
      </c>
      <c r="L169" s="1316"/>
      <c r="M169" s="1156">
        <v>823</v>
      </c>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row>
    <row r="170" spans="1:137" s="364" customFormat="1" ht="34.5" customHeight="1">
      <c r="A170" s="1173"/>
      <c r="B170" s="1200"/>
      <c r="C170" s="1171" t="s">
        <v>9</v>
      </c>
      <c r="D170" s="1262">
        <v>41400</v>
      </c>
      <c r="E170" s="1232">
        <v>41400</v>
      </c>
      <c r="F170" s="1232">
        <v>41400</v>
      </c>
      <c r="G170" s="1152">
        <f t="shared" si="20"/>
        <v>1</v>
      </c>
      <c r="H170" s="1234"/>
      <c r="I170" s="1234" t="s">
        <v>269</v>
      </c>
      <c r="J170" s="1299"/>
      <c r="K170" s="1141"/>
      <c r="L170" s="1212"/>
      <c r="M170" s="1159"/>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row>
    <row r="171" spans="1:137" s="364" customFormat="1" ht="30.75" customHeight="1">
      <c r="A171" s="1173"/>
      <c r="B171" s="1200"/>
      <c r="C171" s="1171" t="s">
        <v>10</v>
      </c>
      <c r="D171" s="1151">
        <v>0</v>
      </c>
      <c r="E171" s="1232">
        <v>0</v>
      </c>
      <c r="F171" s="1232">
        <v>0</v>
      </c>
      <c r="G171" s="1152">
        <v>0</v>
      </c>
      <c r="H171" s="1234"/>
      <c r="I171" s="1234" t="s">
        <v>270</v>
      </c>
      <c r="J171" s="1299"/>
      <c r="K171" s="1141"/>
      <c r="L171" s="1212"/>
      <c r="M171" s="1159"/>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row>
    <row r="172" spans="1:137" s="364" customFormat="1" ht="30" customHeight="1">
      <c r="A172" s="1173"/>
      <c r="B172" s="1200"/>
      <c r="C172" s="1171" t="s">
        <v>11</v>
      </c>
      <c r="D172" s="1151">
        <v>16331</v>
      </c>
      <c r="E172" s="1232">
        <v>16331</v>
      </c>
      <c r="F172" s="1232">
        <v>16331</v>
      </c>
      <c r="G172" s="1152">
        <f t="shared" si="20"/>
        <v>1</v>
      </c>
      <c r="H172" s="1234"/>
      <c r="I172" s="1234" t="s">
        <v>271</v>
      </c>
      <c r="J172" s="1299"/>
      <c r="K172" s="1141"/>
      <c r="L172" s="1212"/>
      <c r="M172" s="1159"/>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row>
    <row r="173" spans="1:137" s="364" customFormat="1" ht="28.5" customHeight="1">
      <c r="A173" s="1176"/>
      <c r="B173" s="1203"/>
      <c r="C173" s="1171" t="s">
        <v>12</v>
      </c>
      <c r="D173" s="1151">
        <v>0</v>
      </c>
      <c r="E173" s="1232">
        <v>0</v>
      </c>
      <c r="F173" s="1232">
        <v>0</v>
      </c>
      <c r="G173" s="1152">
        <v>0</v>
      </c>
      <c r="H173" s="1237"/>
      <c r="I173" s="1237" t="s">
        <v>272</v>
      </c>
      <c r="J173" s="1301"/>
      <c r="K173" s="1147"/>
      <c r="L173" s="1218"/>
      <c r="M173" s="1165"/>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row>
    <row r="174" spans="1:137" s="364" customFormat="1">
      <c r="A174" s="1178" t="s">
        <v>2865</v>
      </c>
      <c r="B174" s="1204" t="s">
        <v>2864</v>
      </c>
      <c r="C174" s="742" t="s">
        <v>8</v>
      </c>
      <c r="D174" s="1162">
        <f>SUM(D175:D178)</f>
        <v>18900.399999999998</v>
      </c>
      <c r="E174" s="1162">
        <f>SUM(E175:E178)</f>
        <v>18900.377560000001</v>
      </c>
      <c r="F174" s="1162">
        <f>SUM(F175:F178)</f>
        <v>18900.377</v>
      </c>
      <c r="G174" s="1152">
        <f>F174/D174</f>
        <v>0.99999878309453782</v>
      </c>
      <c r="H174" s="1136" t="s">
        <v>2833</v>
      </c>
      <c r="I174" s="1154" t="s">
        <v>268</v>
      </c>
      <c r="J174" s="1191">
        <v>2</v>
      </c>
      <c r="K174" s="1136" t="s">
        <v>2816</v>
      </c>
      <c r="L174" s="1317"/>
      <c r="M174" s="1156">
        <v>823</v>
      </c>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row>
    <row r="175" spans="1:137" s="364" customFormat="1" ht="30.75" customHeight="1">
      <c r="A175" s="1187"/>
      <c r="B175" s="1313"/>
      <c r="C175" s="742" t="s">
        <v>9</v>
      </c>
      <c r="D175" s="1162">
        <f>D180+D185</f>
        <v>2711.1</v>
      </c>
      <c r="E175" s="1162">
        <f>SUM(E180,E185)</f>
        <v>2711.0775599999997</v>
      </c>
      <c r="F175" s="1162">
        <f>SUM(F180,F185)</f>
        <v>2711.0770000000002</v>
      </c>
      <c r="G175" s="1152">
        <f t="shared" ref="G175:G176" si="21">F175/D175</f>
        <v>0.99999151635867367</v>
      </c>
      <c r="H175" s="1141"/>
      <c r="I175" s="1154" t="s">
        <v>269</v>
      </c>
      <c r="J175" s="1191">
        <v>2</v>
      </c>
      <c r="K175" s="1141"/>
      <c r="L175" s="1318"/>
      <c r="M175" s="1159"/>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row>
    <row r="176" spans="1:137" s="364" customFormat="1" ht="33" customHeight="1">
      <c r="A176" s="1187"/>
      <c r="B176" s="1313"/>
      <c r="C176" s="742" t="s">
        <v>10</v>
      </c>
      <c r="D176" s="1162">
        <f>D181+D186</f>
        <v>16189.3</v>
      </c>
      <c r="E176" s="1162">
        <f>SUM(E181,E186)</f>
        <v>16189.3</v>
      </c>
      <c r="F176" s="1162">
        <f>SUM(F181,F186)</f>
        <v>16189.3</v>
      </c>
      <c r="G176" s="1152">
        <f t="shared" si="21"/>
        <v>1</v>
      </c>
      <c r="H176" s="1141"/>
      <c r="I176" s="1154" t="s">
        <v>270</v>
      </c>
      <c r="J176" s="1191">
        <v>0</v>
      </c>
      <c r="K176" s="1141"/>
      <c r="L176" s="1318"/>
      <c r="M176" s="1159"/>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row>
    <row r="177" spans="1:137" s="364" customFormat="1" ht="31.5" customHeight="1">
      <c r="A177" s="1187"/>
      <c r="B177" s="1313"/>
      <c r="C177" s="742" t="s">
        <v>11</v>
      </c>
      <c r="D177" s="1162">
        <v>0</v>
      </c>
      <c r="E177" s="1162">
        <v>0</v>
      </c>
      <c r="F177" s="1162">
        <v>0</v>
      </c>
      <c r="G177" s="1152">
        <v>0</v>
      </c>
      <c r="H177" s="1141"/>
      <c r="I177" s="1154" t="s">
        <v>271</v>
      </c>
      <c r="J177" s="1191">
        <v>0</v>
      </c>
      <c r="K177" s="1141"/>
      <c r="L177" s="1318"/>
      <c r="M177" s="1159"/>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row>
    <row r="178" spans="1:137" s="364" customFormat="1" ht="37.5" customHeight="1">
      <c r="A178" s="1194"/>
      <c r="B178" s="1315"/>
      <c r="C178" s="742" t="s">
        <v>12</v>
      </c>
      <c r="D178" s="1162">
        <v>0</v>
      </c>
      <c r="E178" s="1162">
        <v>0</v>
      </c>
      <c r="F178" s="1162">
        <v>0</v>
      </c>
      <c r="G178" s="1152">
        <v>0</v>
      </c>
      <c r="H178" s="1147"/>
      <c r="I178" s="1154" t="s">
        <v>272</v>
      </c>
      <c r="J178" s="1258">
        <f>(J175+0.5*J176)/J174</f>
        <v>1</v>
      </c>
      <c r="K178" s="1147"/>
      <c r="L178" s="1319"/>
      <c r="M178" s="1165"/>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row>
    <row r="179" spans="1:137" s="364" customFormat="1" ht="30" customHeight="1">
      <c r="A179" s="1320" t="s">
        <v>2866</v>
      </c>
      <c r="B179" s="1276" t="s">
        <v>2969</v>
      </c>
      <c r="C179" s="742" t="s">
        <v>8</v>
      </c>
      <c r="D179" s="1229">
        <v>12043.6</v>
      </c>
      <c r="E179" s="1229">
        <f>SUM(F180:F183)</f>
        <v>12043.617</v>
      </c>
      <c r="F179" s="1229">
        <f>SUM(F180:F183)</f>
        <v>12043.617</v>
      </c>
      <c r="G179" s="1152">
        <f>F179/D179</f>
        <v>1.0000014115380782</v>
      </c>
      <c r="H179" s="1207" t="s">
        <v>3023</v>
      </c>
      <c r="I179" s="1207" t="s">
        <v>3164</v>
      </c>
      <c r="J179" s="1260" t="s">
        <v>2955</v>
      </c>
      <c r="K179" s="1136" t="s">
        <v>2970</v>
      </c>
      <c r="L179" s="1150"/>
      <c r="M179" s="1156">
        <v>823</v>
      </c>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row>
    <row r="180" spans="1:137" s="364" customFormat="1" ht="25.5" customHeight="1">
      <c r="A180" s="1140"/>
      <c r="B180" s="1280"/>
      <c r="C180" s="742" t="s">
        <v>9</v>
      </c>
      <c r="D180" s="1213">
        <v>722.6</v>
      </c>
      <c r="E180" s="1232">
        <v>722.61699999999996</v>
      </c>
      <c r="F180" s="1232">
        <v>722.61699999999996</v>
      </c>
      <c r="G180" s="1152">
        <f t="shared" ref="G180" si="22">F180/D180</f>
        <v>1.0000235261555492</v>
      </c>
      <c r="H180" s="1234"/>
      <c r="I180" s="1234"/>
      <c r="J180" s="1263"/>
      <c r="K180" s="1141"/>
      <c r="L180" s="1157"/>
      <c r="M180" s="1159"/>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row>
    <row r="181" spans="1:137" s="364" customFormat="1" ht="23.25" customHeight="1">
      <c r="A181" s="1140"/>
      <c r="B181" s="1280"/>
      <c r="C181" s="742" t="s">
        <v>10</v>
      </c>
      <c r="D181" s="1162">
        <v>11321</v>
      </c>
      <c r="E181" s="1232">
        <v>11321</v>
      </c>
      <c r="F181" s="1232">
        <v>11321</v>
      </c>
      <c r="G181" s="1152">
        <v>0</v>
      </c>
      <c r="H181" s="1234"/>
      <c r="I181" s="1234"/>
      <c r="J181" s="1263"/>
      <c r="K181" s="1141"/>
      <c r="L181" s="1157"/>
      <c r="M181" s="1159"/>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row>
    <row r="182" spans="1:137" s="364" customFormat="1" ht="19.5" customHeight="1">
      <c r="A182" s="1140"/>
      <c r="B182" s="1280"/>
      <c r="C182" s="742" t="s">
        <v>11</v>
      </c>
      <c r="D182" s="1162">
        <v>0</v>
      </c>
      <c r="E182" s="1232">
        <v>0</v>
      </c>
      <c r="F182" s="1232">
        <v>0</v>
      </c>
      <c r="G182" s="1152">
        <v>0</v>
      </c>
      <c r="H182" s="1234"/>
      <c r="I182" s="1234"/>
      <c r="J182" s="1263"/>
      <c r="K182" s="1141"/>
      <c r="L182" s="1157"/>
      <c r="M182" s="1159"/>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row>
    <row r="183" spans="1:137" s="364" customFormat="1" ht="23.25" customHeight="1">
      <c r="A183" s="1160"/>
      <c r="B183" s="1283"/>
      <c r="C183" s="742" t="s">
        <v>12</v>
      </c>
      <c r="D183" s="1162">
        <v>0</v>
      </c>
      <c r="E183" s="1232">
        <v>0</v>
      </c>
      <c r="F183" s="1232">
        <v>0</v>
      </c>
      <c r="G183" s="1152">
        <v>0</v>
      </c>
      <c r="H183" s="1237"/>
      <c r="I183" s="1237"/>
      <c r="J183" s="1265"/>
      <c r="K183" s="1147"/>
      <c r="L183" s="1161"/>
      <c r="M183" s="1165"/>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row>
    <row r="184" spans="1:137" s="364" customFormat="1" ht="36" customHeight="1">
      <c r="A184" s="1320" t="s">
        <v>2867</v>
      </c>
      <c r="B184" s="1276" t="s">
        <v>3021</v>
      </c>
      <c r="C184" s="742" t="s">
        <v>8</v>
      </c>
      <c r="D184" s="1229">
        <v>6856.8</v>
      </c>
      <c r="E184" s="1229">
        <f>SUM(E185:E188)</f>
        <v>6856.7605600000006</v>
      </c>
      <c r="F184" s="1229">
        <f>SUM(F185:F188)</f>
        <v>6856.76</v>
      </c>
      <c r="G184" s="1152">
        <f>F184/D184</f>
        <v>0.99999416637498539</v>
      </c>
      <c r="H184" s="1207" t="s">
        <v>3022</v>
      </c>
      <c r="I184" s="1207" t="s">
        <v>3149</v>
      </c>
      <c r="J184" s="1260" t="s">
        <v>2955</v>
      </c>
      <c r="K184" s="1136" t="s">
        <v>2970</v>
      </c>
      <c r="L184" s="1150"/>
      <c r="M184" s="1156">
        <v>823</v>
      </c>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row>
    <row r="185" spans="1:137" s="364" customFormat="1" ht="33" customHeight="1">
      <c r="A185" s="1140"/>
      <c r="B185" s="1280"/>
      <c r="C185" s="742" t="s">
        <v>9</v>
      </c>
      <c r="D185" s="1321">
        <v>1988.5</v>
      </c>
      <c r="E185" s="1322">
        <v>1988.46056</v>
      </c>
      <c r="F185" s="1321">
        <v>1988.46</v>
      </c>
      <c r="G185" s="1152">
        <f t="shared" ref="G185:G188" si="23">F185/D185</f>
        <v>0.99997988433492579</v>
      </c>
      <c r="H185" s="1234"/>
      <c r="I185" s="1234"/>
      <c r="J185" s="1263"/>
      <c r="K185" s="1141"/>
      <c r="L185" s="1157"/>
      <c r="M185" s="1159"/>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row>
    <row r="186" spans="1:137" s="364" customFormat="1" ht="27.75" customHeight="1">
      <c r="A186" s="1140"/>
      <c r="B186" s="1280"/>
      <c r="C186" s="742" t="s">
        <v>10</v>
      </c>
      <c r="D186" s="1151">
        <v>4868.3</v>
      </c>
      <c r="E186" s="1151">
        <v>4868.3</v>
      </c>
      <c r="F186" s="1151">
        <v>4868.3</v>
      </c>
      <c r="G186" s="1152">
        <f t="shared" si="23"/>
        <v>1</v>
      </c>
      <c r="H186" s="1234"/>
      <c r="I186" s="1234"/>
      <c r="J186" s="1263"/>
      <c r="K186" s="1141"/>
      <c r="L186" s="1157"/>
      <c r="M186" s="1159"/>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row>
    <row r="187" spans="1:137" s="364" customFormat="1" ht="28.5" customHeight="1">
      <c r="A187" s="1140"/>
      <c r="B187" s="1280"/>
      <c r="C187" s="742" t="s">
        <v>11</v>
      </c>
      <c r="D187" s="1162">
        <v>0</v>
      </c>
      <c r="E187" s="1232">
        <v>0</v>
      </c>
      <c r="F187" s="1232">
        <v>0</v>
      </c>
      <c r="G187" s="1152" t="e">
        <f t="shared" si="23"/>
        <v>#DIV/0!</v>
      </c>
      <c r="H187" s="1234"/>
      <c r="I187" s="1234"/>
      <c r="J187" s="1263"/>
      <c r="K187" s="1141"/>
      <c r="L187" s="1157"/>
      <c r="M187" s="1159"/>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row>
    <row r="188" spans="1:137" s="364" customFormat="1" ht="33" customHeight="1">
      <c r="A188" s="1160"/>
      <c r="B188" s="1283"/>
      <c r="C188" s="742" t="s">
        <v>12</v>
      </c>
      <c r="D188" s="1162">
        <v>0</v>
      </c>
      <c r="E188" s="1232">
        <v>0</v>
      </c>
      <c r="F188" s="1232">
        <v>0</v>
      </c>
      <c r="G188" s="1152" t="e">
        <f t="shared" si="23"/>
        <v>#DIV/0!</v>
      </c>
      <c r="H188" s="1237"/>
      <c r="I188" s="1237"/>
      <c r="J188" s="1265"/>
      <c r="K188" s="1147"/>
      <c r="L188" s="1161"/>
      <c r="M188" s="1165"/>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row>
    <row r="189" spans="1:137">
      <c r="A189" s="1323" t="s">
        <v>76</v>
      </c>
      <c r="B189" s="1252" t="s">
        <v>77</v>
      </c>
      <c r="C189" s="742" t="s">
        <v>8</v>
      </c>
      <c r="D189" s="1151">
        <f>SUM(D190:D193)</f>
        <v>1321008.152</v>
      </c>
      <c r="E189" s="1151">
        <f>SUM(E190:E193)</f>
        <v>1191147.1499599998</v>
      </c>
      <c r="F189" s="1151">
        <f>SUM(F190:F193)</f>
        <v>853111.42995999986</v>
      </c>
      <c r="G189" s="1152">
        <f t="shared" ref="G189:G197" si="24">F189/D189</f>
        <v>0.64580330459610957</v>
      </c>
      <c r="H189" s="1153"/>
      <c r="I189" s="1154" t="s">
        <v>268</v>
      </c>
      <c r="J189" s="1167">
        <f>SUM(J194,J229,J339,J349)</f>
        <v>31</v>
      </c>
      <c r="K189" s="1136" t="s">
        <v>3026</v>
      </c>
      <c r="L189" s="1150"/>
      <c r="M189" s="1156" t="s">
        <v>150</v>
      </c>
    </row>
    <row r="190" spans="1:137">
      <c r="A190" s="1324"/>
      <c r="B190" s="1254"/>
      <c r="C190" s="742" t="s">
        <v>9</v>
      </c>
      <c r="D190" s="1175">
        <f t="shared" ref="D190:F191" si="25">SUM(D195,D230,D340,D350)</f>
        <v>1034922.338</v>
      </c>
      <c r="E190" s="1175">
        <f t="shared" si="25"/>
        <v>914787.66500999988</v>
      </c>
      <c r="F190" s="1175">
        <f t="shared" si="25"/>
        <v>618154.89500999986</v>
      </c>
      <c r="G190" s="1152">
        <f t="shared" si="24"/>
        <v>0.5972959248368257</v>
      </c>
      <c r="H190" s="1158"/>
      <c r="I190" s="1154" t="s">
        <v>269</v>
      </c>
      <c r="J190" s="1167">
        <f>SUM(J195,J230,J340,J350)</f>
        <v>21</v>
      </c>
      <c r="K190" s="1141"/>
      <c r="L190" s="1157"/>
      <c r="M190" s="1159"/>
    </row>
    <row r="191" spans="1:137">
      <c r="A191" s="1324"/>
      <c r="B191" s="1254"/>
      <c r="C191" s="742" t="s">
        <v>10</v>
      </c>
      <c r="D191" s="1175">
        <f t="shared" si="25"/>
        <v>225488.99299999999</v>
      </c>
      <c r="E191" s="1232">
        <f t="shared" si="25"/>
        <v>220501.08600000001</v>
      </c>
      <c r="F191" s="1232">
        <f t="shared" si="25"/>
        <v>187971.68599999999</v>
      </c>
      <c r="G191" s="1152">
        <v>0</v>
      </c>
      <c r="H191" s="1158"/>
      <c r="I191" s="1154" t="s">
        <v>270</v>
      </c>
      <c r="J191" s="1167">
        <f>SUM(J196,J231,J341,J351)</f>
        <v>5</v>
      </c>
      <c r="K191" s="1141"/>
      <c r="L191" s="1157"/>
      <c r="M191" s="1159"/>
    </row>
    <row r="192" spans="1:137">
      <c r="A192" s="1324"/>
      <c r="B192" s="1254"/>
      <c r="C192" s="742" t="s">
        <v>11</v>
      </c>
      <c r="D192" s="1175">
        <f>SUM(D197,D232,D347,D352)</f>
        <v>60596.821000000004</v>
      </c>
      <c r="E192" s="1232">
        <f>SUM(E197,E232,E342,E352)</f>
        <v>55858.398950000003</v>
      </c>
      <c r="F192" s="1232">
        <f>SUM(F197,F232,F342,F352)</f>
        <v>46984.848950000007</v>
      </c>
      <c r="G192" s="1152">
        <f t="shared" si="24"/>
        <v>0.77536821527320721</v>
      </c>
      <c r="H192" s="1158"/>
      <c r="I192" s="1154" t="s">
        <v>271</v>
      </c>
      <c r="J192" s="1167">
        <v>5</v>
      </c>
      <c r="K192" s="1141"/>
      <c r="L192" s="1157"/>
      <c r="M192" s="1159"/>
    </row>
    <row r="193" spans="1:137">
      <c r="A193" s="1325"/>
      <c r="B193" s="1256"/>
      <c r="C193" s="742" t="s">
        <v>12</v>
      </c>
      <c r="D193" s="1232">
        <v>0</v>
      </c>
      <c r="E193" s="1232">
        <v>0</v>
      </c>
      <c r="F193" s="1232">
        <v>0</v>
      </c>
      <c r="G193" s="1152">
        <v>0</v>
      </c>
      <c r="H193" s="1163"/>
      <c r="I193" s="1154" t="s">
        <v>272</v>
      </c>
      <c r="J193" s="1258">
        <f>(J190+0.5*J191)/J189</f>
        <v>0.75806451612903225</v>
      </c>
      <c r="K193" s="1147"/>
      <c r="L193" s="1161"/>
      <c r="M193" s="1165"/>
    </row>
    <row r="194" spans="1:137" s="364" customFormat="1" ht="26.25" customHeight="1">
      <c r="A194" s="1135" t="s">
        <v>178</v>
      </c>
      <c r="B194" s="1204" t="s">
        <v>151</v>
      </c>
      <c r="C194" s="742" t="s">
        <v>8</v>
      </c>
      <c r="D194" s="1151">
        <f>SUM(D195:D198)</f>
        <v>199844.65700000001</v>
      </c>
      <c r="E194" s="1175">
        <f>SUM(E195:E198)</f>
        <v>100912.27</v>
      </c>
      <c r="F194" s="1162">
        <f>SUM(F195:F198)</f>
        <v>100912.27</v>
      </c>
      <c r="G194" s="1152">
        <f t="shared" si="24"/>
        <v>0.50495355500047223</v>
      </c>
      <c r="H194" s="1136" t="s">
        <v>2834</v>
      </c>
      <c r="I194" s="1154" t="s">
        <v>268</v>
      </c>
      <c r="J194" s="1167">
        <v>6</v>
      </c>
      <c r="K194" s="1136" t="s">
        <v>3027</v>
      </c>
      <c r="L194" s="1150" t="s">
        <v>3200</v>
      </c>
      <c r="M194" s="1156">
        <v>807</v>
      </c>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row>
    <row r="195" spans="1:137" s="364" customFormat="1" ht="29.25" customHeight="1">
      <c r="A195" s="1140"/>
      <c r="B195" s="1313"/>
      <c r="C195" s="742" t="s">
        <v>9</v>
      </c>
      <c r="D195" s="1201">
        <f>SUM(D200,D205,D210,D215,D220,D225)</f>
        <v>171685.15700000001</v>
      </c>
      <c r="E195" s="1201">
        <f>SUM(E200,E205,E210,E215,E220,E225)</f>
        <v>77430.75</v>
      </c>
      <c r="F195" s="1201">
        <f>SUM(F200,F205,F210,F215,F220,F225)</f>
        <v>77430.75</v>
      </c>
      <c r="G195" s="1152">
        <f t="shared" si="24"/>
        <v>0.45100433463796757</v>
      </c>
      <c r="H195" s="1141"/>
      <c r="I195" s="1154" t="s">
        <v>269</v>
      </c>
      <c r="J195" s="1167">
        <v>0</v>
      </c>
      <c r="K195" s="1141"/>
      <c r="L195" s="1157"/>
      <c r="M195" s="1159"/>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row>
    <row r="196" spans="1:137" s="364" customFormat="1" ht="28.5" customHeight="1">
      <c r="A196" s="1140"/>
      <c r="B196" s="1313"/>
      <c r="C196" s="742" t="s">
        <v>10</v>
      </c>
      <c r="D196" s="1201">
        <v>0</v>
      </c>
      <c r="E196" s="1175">
        <v>0</v>
      </c>
      <c r="F196" s="1326">
        <v>0</v>
      </c>
      <c r="G196" s="1152">
        <v>0</v>
      </c>
      <c r="H196" s="1141"/>
      <c r="I196" s="1154" t="s">
        <v>270</v>
      </c>
      <c r="J196" s="1167">
        <v>3</v>
      </c>
      <c r="K196" s="1141"/>
      <c r="L196" s="1157"/>
      <c r="M196" s="1159"/>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row>
    <row r="197" spans="1:137" s="364" customFormat="1" ht="27" customHeight="1">
      <c r="A197" s="1140"/>
      <c r="B197" s="1313"/>
      <c r="C197" s="742" t="s">
        <v>11</v>
      </c>
      <c r="D197" s="1201">
        <f>SUM(D202,D207,D212,D217,D222,D227)</f>
        <v>28159.5</v>
      </c>
      <c r="E197" s="1175">
        <f>SUM(E202,E207,E212,E217,E222,E227)</f>
        <v>23481.52</v>
      </c>
      <c r="F197" s="1175">
        <f>SUM(F202,F207,F212,F217,F222,F227)</f>
        <v>23481.52</v>
      </c>
      <c r="G197" s="1152">
        <f t="shared" si="24"/>
        <v>0.83387560148440132</v>
      </c>
      <c r="H197" s="1141"/>
      <c r="I197" s="1154" t="s">
        <v>271</v>
      </c>
      <c r="J197" s="1167">
        <v>3</v>
      </c>
      <c r="K197" s="1141"/>
      <c r="L197" s="1157"/>
      <c r="M197" s="1159"/>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row>
    <row r="198" spans="1:137" s="364" customFormat="1" ht="24.75" customHeight="1">
      <c r="A198" s="1160"/>
      <c r="B198" s="1315"/>
      <c r="C198" s="742" t="s">
        <v>12</v>
      </c>
      <c r="D198" s="1201">
        <v>0</v>
      </c>
      <c r="E198" s="1175">
        <v>0</v>
      </c>
      <c r="F198" s="1213">
        <v>0</v>
      </c>
      <c r="G198" s="1152">
        <v>0</v>
      </c>
      <c r="H198" s="1147"/>
      <c r="I198" s="1154" t="s">
        <v>272</v>
      </c>
      <c r="J198" s="1168">
        <f>(J195+0.5*J196)/J194</f>
        <v>0.25</v>
      </c>
      <c r="K198" s="1147"/>
      <c r="L198" s="1161"/>
      <c r="M198" s="1165"/>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row>
    <row r="199" spans="1:137" s="364" customFormat="1" ht="29.25" customHeight="1">
      <c r="A199" s="1135" t="s">
        <v>220</v>
      </c>
      <c r="B199" s="1198" t="s">
        <v>2854</v>
      </c>
      <c r="C199" s="742" t="s">
        <v>8</v>
      </c>
      <c r="D199" s="1327">
        <v>108778.95699999999</v>
      </c>
      <c r="E199" s="1327">
        <f>SUM(E200:E203)</f>
        <v>93139.96</v>
      </c>
      <c r="F199" s="1327">
        <f>SUM(F200:F203)</f>
        <v>93139.96</v>
      </c>
      <c r="G199" s="1328">
        <f t="shared" ref="G199:G202" si="26">F199/D199</f>
        <v>0.85623141247805867</v>
      </c>
      <c r="H199" s="1136" t="s">
        <v>2976</v>
      </c>
      <c r="I199" s="1231" t="s">
        <v>3110</v>
      </c>
      <c r="J199" s="1260" t="s">
        <v>2844</v>
      </c>
      <c r="K199" s="1136" t="s">
        <v>2975</v>
      </c>
      <c r="L199" s="1329" t="s">
        <v>3111</v>
      </c>
      <c r="M199" s="1156">
        <v>807</v>
      </c>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row>
    <row r="200" spans="1:137" s="364" customFormat="1" ht="37.5" customHeight="1">
      <c r="A200" s="1140"/>
      <c r="B200" s="1200"/>
      <c r="C200" s="742" t="s">
        <v>9</v>
      </c>
      <c r="D200" s="1327">
        <v>81584.256999999998</v>
      </c>
      <c r="E200" s="1175">
        <v>69854.960000000006</v>
      </c>
      <c r="F200" s="1175">
        <v>69854.960000000006</v>
      </c>
      <c r="G200" s="1328">
        <f t="shared" si="26"/>
        <v>0.85623087797441122</v>
      </c>
      <c r="H200" s="1141"/>
      <c r="I200" s="1235"/>
      <c r="J200" s="1263"/>
      <c r="K200" s="1141"/>
      <c r="L200" s="1329"/>
      <c r="M200" s="1159"/>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row>
    <row r="201" spans="1:137" s="364" customFormat="1" ht="30.75" customHeight="1">
      <c r="A201" s="1140"/>
      <c r="B201" s="1200"/>
      <c r="C201" s="742" t="s">
        <v>10</v>
      </c>
      <c r="D201" s="1327">
        <v>0</v>
      </c>
      <c r="E201" s="1175">
        <v>0</v>
      </c>
      <c r="F201" s="1175">
        <v>0</v>
      </c>
      <c r="G201" s="1152">
        <v>0</v>
      </c>
      <c r="H201" s="1141"/>
      <c r="I201" s="1235"/>
      <c r="J201" s="1263"/>
      <c r="K201" s="1141"/>
      <c r="L201" s="1329"/>
      <c r="M201" s="1159"/>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row>
    <row r="202" spans="1:137" s="364" customFormat="1" ht="30.75" customHeight="1">
      <c r="A202" s="1140"/>
      <c r="B202" s="1200"/>
      <c r="C202" s="742" t="s">
        <v>11</v>
      </c>
      <c r="D202" s="1327">
        <v>27194.799999999999</v>
      </c>
      <c r="E202" s="1175">
        <v>23285</v>
      </c>
      <c r="F202" s="1175">
        <v>23285</v>
      </c>
      <c r="G202" s="1328">
        <f t="shared" si="26"/>
        <v>0.85622986747466434</v>
      </c>
      <c r="H202" s="1141"/>
      <c r="I202" s="1235"/>
      <c r="J202" s="1263"/>
      <c r="K202" s="1141"/>
      <c r="L202" s="1329"/>
      <c r="M202" s="1159"/>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row>
    <row r="203" spans="1:137" s="364" customFormat="1" ht="26.25" customHeight="1">
      <c r="A203" s="1160"/>
      <c r="B203" s="1203"/>
      <c r="C203" s="1330" t="s">
        <v>12</v>
      </c>
      <c r="D203" s="1331">
        <v>0</v>
      </c>
      <c r="E203" s="1232">
        <v>0</v>
      </c>
      <c r="F203" s="1232">
        <v>0</v>
      </c>
      <c r="G203" s="1152">
        <v>0</v>
      </c>
      <c r="H203" s="1147"/>
      <c r="I203" s="1242"/>
      <c r="J203" s="1265"/>
      <c r="K203" s="1141"/>
      <c r="L203" s="1329"/>
      <c r="M203" s="1159"/>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row>
    <row r="204" spans="1:137" s="364" customFormat="1" ht="30" customHeight="1">
      <c r="A204" s="1135" t="s">
        <v>229</v>
      </c>
      <c r="B204" s="1198" t="s">
        <v>2919</v>
      </c>
      <c r="C204" s="742" t="s">
        <v>8</v>
      </c>
      <c r="D204" s="1327">
        <v>5000</v>
      </c>
      <c r="E204" s="1327">
        <v>0</v>
      </c>
      <c r="F204" s="1327">
        <v>0</v>
      </c>
      <c r="G204" s="1328">
        <v>0</v>
      </c>
      <c r="H204" s="1136" t="s">
        <v>2977</v>
      </c>
      <c r="I204" s="1136" t="s">
        <v>3012</v>
      </c>
      <c r="J204" s="1260" t="s">
        <v>2845</v>
      </c>
      <c r="K204" s="1136" t="s">
        <v>2975</v>
      </c>
      <c r="L204" s="1329" t="s">
        <v>3013</v>
      </c>
      <c r="M204" s="1332">
        <v>807</v>
      </c>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row>
    <row r="205" spans="1:137" s="364" customFormat="1" ht="25.5" customHeight="1">
      <c r="A205" s="1140"/>
      <c r="B205" s="1200"/>
      <c r="C205" s="742" t="s">
        <v>9</v>
      </c>
      <c r="D205" s="1327">
        <v>4750</v>
      </c>
      <c r="E205" s="1175">
        <v>0</v>
      </c>
      <c r="F205" s="1175">
        <v>0</v>
      </c>
      <c r="G205" s="1328">
        <v>0</v>
      </c>
      <c r="H205" s="1141"/>
      <c r="I205" s="1141"/>
      <c r="J205" s="1263"/>
      <c r="K205" s="1141"/>
      <c r="L205" s="1329"/>
      <c r="M205" s="1332"/>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row>
    <row r="206" spans="1:137" s="364" customFormat="1" ht="33" customHeight="1">
      <c r="A206" s="1140"/>
      <c r="B206" s="1200"/>
      <c r="C206" s="742" t="s">
        <v>10</v>
      </c>
      <c r="D206" s="1327">
        <v>0</v>
      </c>
      <c r="E206" s="1175">
        <v>0</v>
      </c>
      <c r="F206" s="1175">
        <v>0</v>
      </c>
      <c r="G206" s="1328">
        <v>0</v>
      </c>
      <c r="H206" s="1141"/>
      <c r="I206" s="1141"/>
      <c r="J206" s="1263"/>
      <c r="K206" s="1141"/>
      <c r="L206" s="1329"/>
      <c r="M206" s="1332"/>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row>
    <row r="207" spans="1:137" s="364" customFormat="1" ht="28.5" customHeight="1">
      <c r="A207" s="1140"/>
      <c r="B207" s="1200"/>
      <c r="C207" s="742" t="s">
        <v>11</v>
      </c>
      <c r="D207" s="1327">
        <v>250</v>
      </c>
      <c r="E207" s="1175">
        <v>0</v>
      </c>
      <c r="F207" s="1175">
        <v>0</v>
      </c>
      <c r="G207" s="1328">
        <v>0</v>
      </c>
      <c r="H207" s="1141"/>
      <c r="I207" s="1141"/>
      <c r="J207" s="1263"/>
      <c r="K207" s="1141"/>
      <c r="L207" s="1329"/>
      <c r="M207" s="1332"/>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row>
    <row r="208" spans="1:137" s="364" customFormat="1" ht="27" customHeight="1">
      <c r="A208" s="1160"/>
      <c r="B208" s="1203"/>
      <c r="C208" s="1330" t="s">
        <v>12</v>
      </c>
      <c r="D208" s="1331">
        <v>0</v>
      </c>
      <c r="E208" s="1232">
        <v>0</v>
      </c>
      <c r="F208" s="1232">
        <v>0</v>
      </c>
      <c r="G208" s="1328">
        <v>0</v>
      </c>
      <c r="H208" s="1147"/>
      <c r="I208" s="1147"/>
      <c r="J208" s="1265"/>
      <c r="K208" s="1141"/>
      <c r="L208" s="1329"/>
      <c r="M208" s="1332"/>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row>
    <row r="209" spans="1:137" s="364" customFormat="1" ht="21.75" customHeight="1">
      <c r="A209" s="1135" t="s">
        <v>234</v>
      </c>
      <c r="B209" s="1198" t="s">
        <v>2921</v>
      </c>
      <c r="C209" s="742" t="s">
        <v>8</v>
      </c>
      <c r="D209" s="1314">
        <v>6815.8</v>
      </c>
      <c r="E209" s="1314">
        <v>0</v>
      </c>
      <c r="F209" s="1314">
        <v>0</v>
      </c>
      <c r="G209" s="1333">
        <v>0</v>
      </c>
      <c r="H209" s="1136" t="s">
        <v>2977</v>
      </c>
      <c r="I209" s="1329" t="s">
        <v>3112</v>
      </c>
      <c r="J209" s="1260" t="s">
        <v>2845</v>
      </c>
      <c r="K209" s="1199" t="s">
        <v>2975</v>
      </c>
      <c r="L209" s="1316" t="s">
        <v>3113</v>
      </c>
      <c r="M209" s="1156">
        <v>807</v>
      </c>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row>
    <row r="210" spans="1:137" s="364" customFormat="1" ht="24" customHeight="1">
      <c r="A210" s="1140"/>
      <c r="B210" s="1200"/>
      <c r="C210" s="742" t="s">
        <v>9</v>
      </c>
      <c r="D210" s="1314">
        <v>6475</v>
      </c>
      <c r="E210" s="1151">
        <v>0</v>
      </c>
      <c r="F210" s="1151">
        <v>0</v>
      </c>
      <c r="G210" s="1334">
        <v>0</v>
      </c>
      <c r="H210" s="1141"/>
      <c r="I210" s="1329"/>
      <c r="J210" s="1263"/>
      <c r="K210" s="1202"/>
      <c r="L210" s="1335"/>
      <c r="M210" s="1159"/>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row>
    <row r="211" spans="1:137" s="364" customFormat="1" ht="18.75" customHeight="1">
      <c r="A211" s="1140"/>
      <c r="B211" s="1200"/>
      <c r="C211" s="742" t="s">
        <v>10</v>
      </c>
      <c r="D211" s="1314">
        <v>0</v>
      </c>
      <c r="E211" s="1151">
        <v>0</v>
      </c>
      <c r="F211" s="1151">
        <v>0</v>
      </c>
      <c r="G211" s="1334">
        <v>0</v>
      </c>
      <c r="H211" s="1141"/>
      <c r="I211" s="1329"/>
      <c r="J211" s="1263"/>
      <c r="K211" s="1202"/>
      <c r="L211" s="1335"/>
      <c r="M211" s="1159"/>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row>
    <row r="212" spans="1:137" s="364" customFormat="1" ht="22.5" customHeight="1">
      <c r="A212" s="1140"/>
      <c r="B212" s="1200"/>
      <c r="C212" s="742" t="s">
        <v>11</v>
      </c>
      <c r="D212" s="1314">
        <v>340.8</v>
      </c>
      <c r="E212" s="1151">
        <v>0</v>
      </c>
      <c r="F212" s="1151">
        <v>0</v>
      </c>
      <c r="G212" s="1334">
        <v>0</v>
      </c>
      <c r="H212" s="1141"/>
      <c r="I212" s="1329"/>
      <c r="J212" s="1263"/>
      <c r="K212" s="1202"/>
      <c r="L212" s="1335"/>
      <c r="M212" s="1159"/>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row>
    <row r="213" spans="1:137" s="364" customFormat="1" ht="21" customHeight="1">
      <c r="A213" s="1160"/>
      <c r="B213" s="1203"/>
      <c r="C213" s="1336" t="s">
        <v>12</v>
      </c>
      <c r="D213" s="1262">
        <v>0</v>
      </c>
      <c r="E213" s="1162">
        <v>0</v>
      </c>
      <c r="F213" s="1162">
        <v>0</v>
      </c>
      <c r="G213" s="1337">
        <v>0</v>
      </c>
      <c r="H213" s="1147"/>
      <c r="I213" s="1329"/>
      <c r="J213" s="1265"/>
      <c r="K213" s="1202"/>
      <c r="L213" s="1338"/>
      <c r="M213" s="1165"/>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row>
    <row r="214" spans="1:137" s="364" customFormat="1" ht="15">
      <c r="A214" s="1135" t="s">
        <v>451</v>
      </c>
      <c r="B214" s="1198" t="s">
        <v>2922</v>
      </c>
      <c r="C214" s="742" t="s">
        <v>8</v>
      </c>
      <c r="D214" s="1327">
        <v>6717.2</v>
      </c>
      <c r="E214" s="1327">
        <f>E215+E217</f>
        <v>4802.3100000000004</v>
      </c>
      <c r="F214" s="1327">
        <f>F215+F217</f>
        <v>4802.3100000000004</v>
      </c>
      <c r="G214" s="1328">
        <f t="shared" ref="G214:G218" si="27">F214/D214</f>
        <v>0.71492735068183177</v>
      </c>
      <c r="H214" s="1136" t="s">
        <v>2977</v>
      </c>
      <c r="I214" s="1339" t="s">
        <v>3015</v>
      </c>
      <c r="J214" s="1260" t="s">
        <v>2844</v>
      </c>
      <c r="K214" s="1136" t="s">
        <v>2979</v>
      </c>
      <c r="L214" s="1316" t="s">
        <v>3114</v>
      </c>
      <c r="M214" s="1156">
        <v>807</v>
      </c>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row>
    <row r="215" spans="1:137" s="364" customFormat="1" ht="15">
      <c r="A215" s="1140"/>
      <c r="B215" s="1200"/>
      <c r="C215" s="742" t="s">
        <v>9</v>
      </c>
      <c r="D215" s="1327">
        <v>6650</v>
      </c>
      <c r="E215" s="1175">
        <v>4754.29</v>
      </c>
      <c r="F215" s="1175">
        <v>4754.29</v>
      </c>
      <c r="G215" s="1328">
        <f t="shared" si="27"/>
        <v>0.71493082706766919</v>
      </c>
      <c r="H215" s="1141"/>
      <c r="I215" s="1339"/>
      <c r="J215" s="1263"/>
      <c r="K215" s="1141"/>
      <c r="L215" s="1335"/>
      <c r="M215" s="1159"/>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row>
    <row r="216" spans="1:137" s="364" customFormat="1" ht="15">
      <c r="A216" s="1140"/>
      <c r="B216" s="1200"/>
      <c r="C216" s="742" t="s">
        <v>10</v>
      </c>
      <c r="D216" s="1327">
        <v>0</v>
      </c>
      <c r="E216" s="1175">
        <v>0</v>
      </c>
      <c r="F216" s="1175">
        <v>0</v>
      </c>
      <c r="G216" s="1328" t="e">
        <f t="shared" si="27"/>
        <v>#DIV/0!</v>
      </c>
      <c r="H216" s="1141"/>
      <c r="I216" s="1339"/>
      <c r="J216" s="1263"/>
      <c r="K216" s="1141"/>
      <c r="L216" s="1335"/>
      <c r="M216" s="1159"/>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row>
    <row r="217" spans="1:137" s="364" customFormat="1" ht="15">
      <c r="A217" s="1140"/>
      <c r="B217" s="1200"/>
      <c r="C217" s="742" t="s">
        <v>11</v>
      </c>
      <c r="D217" s="1327">
        <v>67.2</v>
      </c>
      <c r="E217" s="1175">
        <v>48.02</v>
      </c>
      <c r="F217" s="1175">
        <v>48.02</v>
      </c>
      <c r="G217" s="1328">
        <f t="shared" si="27"/>
        <v>0.71458333333333335</v>
      </c>
      <c r="H217" s="1141"/>
      <c r="I217" s="1339"/>
      <c r="J217" s="1263"/>
      <c r="K217" s="1141"/>
      <c r="L217" s="1335"/>
      <c r="M217" s="1159"/>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row>
    <row r="218" spans="1:137" s="364" customFormat="1" ht="15">
      <c r="A218" s="1160"/>
      <c r="B218" s="1203"/>
      <c r="C218" s="1330" t="s">
        <v>12</v>
      </c>
      <c r="D218" s="1331">
        <v>0</v>
      </c>
      <c r="E218" s="1232">
        <v>0</v>
      </c>
      <c r="F218" s="1232">
        <v>0</v>
      </c>
      <c r="G218" s="1328" t="e">
        <f t="shared" si="27"/>
        <v>#DIV/0!</v>
      </c>
      <c r="H218" s="1147"/>
      <c r="I218" s="1339"/>
      <c r="J218" s="1265"/>
      <c r="K218" s="1141"/>
      <c r="L218" s="1338"/>
      <c r="M218" s="1165"/>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row>
    <row r="219" spans="1:137" s="364" customFormat="1" ht="21" customHeight="1">
      <c r="A219" s="1135" t="s">
        <v>2918</v>
      </c>
      <c r="B219" s="1198" t="s">
        <v>2923</v>
      </c>
      <c r="C219" s="742" t="s">
        <v>8</v>
      </c>
      <c r="D219" s="1327">
        <f>D220</f>
        <v>66399.199999999997</v>
      </c>
      <c r="E219" s="1327">
        <v>0</v>
      </c>
      <c r="F219" s="1327">
        <v>0</v>
      </c>
      <c r="G219" s="1328">
        <v>0</v>
      </c>
      <c r="H219" s="1136" t="s">
        <v>2978</v>
      </c>
      <c r="I219" s="1340" t="s">
        <v>3011</v>
      </c>
      <c r="J219" s="1341" t="s">
        <v>2845</v>
      </c>
      <c r="K219" s="767" t="s">
        <v>2980</v>
      </c>
      <c r="L219" s="1342" t="s">
        <v>3115</v>
      </c>
      <c r="M219" s="1332">
        <v>807</v>
      </c>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row>
    <row r="220" spans="1:137" s="364" customFormat="1" ht="17.25" customHeight="1">
      <c r="A220" s="1140"/>
      <c r="B220" s="1200"/>
      <c r="C220" s="742" t="s">
        <v>9</v>
      </c>
      <c r="D220" s="1327">
        <v>66399.199999999997</v>
      </c>
      <c r="E220" s="1175">
        <v>0</v>
      </c>
      <c r="F220" s="1175">
        <v>0</v>
      </c>
      <c r="G220" s="1172">
        <v>0</v>
      </c>
      <c r="H220" s="1141"/>
      <c r="I220" s="1343"/>
      <c r="J220" s="1344"/>
      <c r="K220" s="767"/>
      <c r="L220" s="1345"/>
      <c r="M220" s="1332"/>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row>
    <row r="221" spans="1:137" s="364" customFormat="1" ht="17.25" customHeight="1">
      <c r="A221" s="1140"/>
      <c r="B221" s="1200"/>
      <c r="C221" s="742" t="s">
        <v>10</v>
      </c>
      <c r="D221" s="1327">
        <v>0</v>
      </c>
      <c r="E221" s="1175">
        <v>0</v>
      </c>
      <c r="F221" s="1175">
        <v>0</v>
      </c>
      <c r="G221" s="1172">
        <v>0</v>
      </c>
      <c r="H221" s="1141"/>
      <c r="I221" s="1343"/>
      <c r="J221" s="1344"/>
      <c r="K221" s="767"/>
      <c r="L221" s="1345"/>
      <c r="M221" s="1332"/>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row>
    <row r="222" spans="1:137" s="364" customFormat="1" ht="18.75" customHeight="1">
      <c r="A222" s="1140"/>
      <c r="B222" s="1200"/>
      <c r="C222" s="742" t="s">
        <v>11</v>
      </c>
      <c r="D222" s="1327">
        <v>0</v>
      </c>
      <c r="E222" s="1175">
        <v>0</v>
      </c>
      <c r="F222" s="1175">
        <v>0</v>
      </c>
      <c r="G222" s="1172">
        <v>0</v>
      </c>
      <c r="H222" s="1141"/>
      <c r="I222" s="1343"/>
      <c r="J222" s="1344"/>
      <c r="K222" s="767"/>
      <c r="L222" s="1345"/>
      <c r="M222" s="1332"/>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row>
    <row r="223" spans="1:137" s="364" customFormat="1" ht="22.5" customHeight="1">
      <c r="A223" s="1160"/>
      <c r="B223" s="1203"/>
      <c r="C223" s="1330" t="s">
        <v>12</v>
      </c>
      <c r="D223" s="1327">
        <v>0</v>
      </c>
      <c r="E223" s="1232">
        <v>0</v>
      </c>
      <c r="F223" s="1232">
        <v>0</v>
      </c>
      <c r="G223" s="1152">
        <v>0</v>
      </c>
      <c r="H223" s="1147"/>
      <c r="I223" s="1346"/>
      <c r="J223" s="1347"/>
      <c r="K223" s="767"/>
      <c r="L223" s="1348"/>
      <c r="M223" s="1332"/>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row>
    <row r="224" spans="1:137" s="364" customFormat="1" ht="15" customHeight="1">
      <c r="A224" s="1135" t="s">
        <v>2950</v>
      </c>
      <c r="B224" s="1259" t="s">
        <v>2951</v>
      </c>
      <c r="C224" s="742" t="s">
        <v>8</v>
      </c>
      <c r="D224" s="1327">
        <f>SUM(D225,D226,D227,D228)</f>
        <v>6133.4</v>
      </c>
      <c r="E224" s="1232">
        <f>SUM(E225:E228)</f>
        <v>2970</v>
      </c>
      <c r="F224" s="1232">
        <f>SUM(F225:F228)</f>
        <v>2970</v>
      </c>
      <c r="G224" s="1152">
        <f t="shared" ref="G224:G228" si="28">F224/D224</f>
        <v>0.48423386702318455</v>
      </c>
      <c r="H224" s="1136" t="s">
        <v>2978</v>
      </c>
      <c r="I224" s="1136" t="s">
        <v>3116</v>
      </c>
      <c r="J224" s="1260" t="s">
        <v>2844</v>
      </c>
      <c r="K224" s="1136" t="str">
        <f>'[7]Пр ГП 19-20'!$K$167</f>
        <v>Министерство строительства МО, администрации муниципальных образований</v>
      </c>
      <c r="L224" s="1316" t="s">
        <v>3117</v>
      </c>
      <c r="M224" s="1332">
        <v>807</v>
      </c>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row>
    <row r="225" spans="1:137" s="364" customFormat="1" ht="15">
      <c r="A225" s="1140"/>
      <c r="B225" s="1261"/>
      <c r="C225" s="742" t="s">
        <v>9</v>
      </c>
      <c r="D225" s="1327">
        <v>5826.7</v>
      </c>
      <c r="E225" s="1232">
        <v>2821.5</v>
      </c>
      <c r="F225" s="1232">
        <v>2821.5</v>
      </c>
      <c r="G225" s="1152">
        <f t="shared" si="28"/>
        <v>0.48423636020388899</v>
      </c>
      <c r="H225" s="1141"/>
      <c r="I225" s="1141"/>
      <c r="J225" s="1263"/>
      <c r="K225" s="1141"/>
      <c r="L225" s="1335"/>
      <c r="M225" s="1332"/>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row>
    <row r="226" spans="1:137" s="364" customFormat="1" ht="15">
      <c r="A226" s="1140"/>
      <c r="B226" s="1261"/>
      <c r="C226" s="742" t="s">
        <v>10</v>
      </c>
      <c r="D226" s="1327">
        <v>0</v>
      </c>
      <c r="E226" s="1232">
        <v>0</v>
      </c>
      <c r="F226" s="1232">
        <v>0</v>
      </c>
      <c r="G226" s="1152" t="e">
        <f t="shared" si="28"/>
        <v>#DIV/0!</v>
      </c>
      <c r="H226" s="1141"/>
      <c r="I226" s="1141"/>
      <c r="J226" s="1263"/>
      <c r="K226" s="1141"/>
      <c r="L226" s="1335"/>
      <c r="M226" s="1332"/>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row>
    <row r="227" spans="1:137" s="364" customFormat="1" ht="15">
      <c r="A227" s="1140"/>
      <c r="B227" s="1261"/>
      <c r="C227" s="742" t="s">
        <v>11</v>
      </c>
      <c r="D227" s="1327">
        <v>306.7</v>
      </c>
      <c r="E227" s="1232">
        <v>148.5</v>
      </c>
      <c r="F227" s="1232">
        <v>148.5</v>
      </c>
      <c r="G227" s="1152">
        <f t="shared" si="28"/>
        <v>0.48418650146723186</v>
      </c>
      <c r="H227" s="1141"/>
      <c r="I227" s="1141"/>
      <c r="J227" s="1263"/>
      <c r="K227" s="1141"/>
      <c r="L227" s="1335"/>
      <c r="M227" s="1332"/>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row>
    <row r="228" spans="1:137" s="364" customFormat="1" ht="15">
      <c r="A228" s="1160"/>
      <c r="B228" s="1264"/>
      <c r="C228" s="1330" t="s">
        <v>12</v>
      </c>
      <c r="D228" s="1327">
        <v>0</v>
      </c>
      <c r="E228" s="1232">
        <v>0</v>
      </c>
      <c r="F228" s="1232">
        <v>0</v>
      </c>
      <c r="G228" s="1152" t="e">
        <f t="shared" si="28"/>
        <v>#DIV/0!</v>
      </c>
      <c r="H228" s="1147"/>
      <c r="I228" s="1147"/>
      <c r="J228" s="1265"/>
      <c r="K228" s="1147"/>
      <c r="L228" s="1338"/>
      <c r="M228" s="1332"/>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row>
    <row r="229" spans="1:137" ht="30" customHeight="1">
      <c r="A229" s="1135" t="s">
        <v>179</v>
      </c>
      <c r="B229" s="1252" t="s">
        <v>2735</v>
      </c>
      <c r="C229" s="742" t="s">
        <v>8</v>
      </c>
      <c r="D229" s="1166">
        <f>SUM(D230:D233)</f>
        <v>369218.77999999997</v>
      </c>
      <c r="E229" s="1151">
        <f>SUM(E230:E233)</f>
        <v>345409.02195999998</v>
      </c>
      <c r="F229" s="1151">
        <f>SUM(F230:F233)</f>
        <v>344774.44195999997</v>
      </c>
      <c r="G229" s="1152">
        <f t="shared" ref="G229" si="29">F229/D229</f>
        <v>0.93379443472512424</v>
      </c>
      <c r="H229" s="1349" t="s">
        <v>2835</v>
      </c>
      <c r="I229" s="1350" t="s">
        <v>268</v>
      </c>
      <c r="J229" s="1351">
        <v>21</v>
      </c>
      <c r="K229" s="1136" t="str">
        <f>'[7]Пр ГП 19-20'!$K$167</f>
        <v>Министерство строительства МО, администрации муниципальных образований</v>
      </c>
      <c r="L229" s="1352" t="s">
        <v>3193</v>
      </c>
      <c r="M229" s="1156">
        <v>823</v>
      </c>
    </row>
    <row r="230" spans="1:137" ht="26.25" customHeight="1">
      <c r="A230" s="1140"/>
      <c r="B230" s="1254"/>
      <c r="C230" s="742" t="s">
        <v>9</v>
      </c>
      <c r="D230" s="1151">
        <f>SUM(D235,D240,D245,D250,D255,D260,D265,D270,D275,D280,D285,D290,D295,D300,D305,D310,D315,D320,D325,D330,D335)</f>
        <v>355399.48</v>
      </c>
      <c r="E230" s="1151">
        <f>SUM(E235,E240,E245,E250,E255,E260,E265,E270,E275,E280,E285,E290,E295,E300,E305,E310,E315,E320,E325,E330,E335)</f>
        <v>331645.48300999997</v>
      </c>
      <c r="F230" s="1151">
        <f>SUM(F235,F240,F245,F250,F255,F260,F265,F270,F275,F280,F285,F290,F295,F300,F305,F310,F315,F330,F335,F320,F325)</f>
        <v>331010.90300999995</v>
      </c>
      <c r="G230" s="1152">
        <f t="shared" ref="G230:G245" si="30">F230/D230</f>
        <v>0.93137700429387227</v>
      </c>
      <c r="H230" s="1353"/>
      <c r="I230" s="1350" t="s">
        <v>269</v>
      </c>
      <c r="J230" s="1351">
        <v>18</v>
      </c>
      <c r="K230" s="1141"/>
      <c r="L230" s="1202"/>
      <c r="M230" s="1159"/>
    </row>
    <row r="231" spans="1:137" ht="26.25" customHeight="1">
      <c r="A231" s="1140"/>
      <c r="B231" s="1254"/>
      <c r="C231" s="742" t="s">
        <v>10</v>
      </c>
      <c r="D231" s="1151">
        <v>0</v>
      </c>
      <c r="E231" s="1151">
        <v>0</v>
      </c>
      <c r="F231" s="1151">
        <v>0</v>
      </c>
      <c r="G231" s="1152">
        <v>0</v>
      </c>
      <c r="H231" s="1353"/>
      <c r="I231" s="1350" t="s">
        <v>270</v>
      </c>
      <c r="J231" s="1351">
        <v>1</v>
      </c>
      <c r="K231" s="1141"/>
      <c r="L231" s="1202"/>
      <c r="M231" s="1159"/>
    </row>
    <row r="232" spans="1:137" ht="33" customHeight="1">
      <c r="A232" s="1140"/>
      <c r="B232" s="1254"/>
      <c r="C232" s="742" t="s">
        <v>11</v>
      </c>
      <c r="D232" s="1151">
        <f>SUM(D237,D242,D247,D252,D257,D262,D267,D272,D277,D282,D292,D297,D302,D307,D312,D317,D322,D327,D332,D337,D287)</f>
        <v>13819.300000000003</v>
      </c>
      <c r="E232" s="1151">
        <f>SUM(E237,E242,E247,E252,E257,E262,E267,E272,E277,E282,E287,E292,E297,E302,E307,E312,E317,E322,E327,E332,E337)</f>
        <v>13763.538950000002</v>
      </c>
      <c r="F232" s="1151">
        <f>SUM(F237,F242,F247,F252,F257,F262,F267,F272,F277,F282,F287,F292,F297,F302,F307,F317,F312,F322,F327,F332,F337)</f>
        <v>13763.538950000002</v>
      </c>
      <c r="G232" s="1152">
        <f>F232/D232</f>
        <v>0.99596498737273231</v>
      </c>
      <c r="H232" s="1353"/>
      <c r="I232" s="1350" t="s">
        <v>271</v>
      </c>
      <c r="J232" s="1351">
        <v>2</v>
      </c>
      <c r="K232" s="1141"/>
      <c r="L232" s="1202"/>
      <c r="M232" s="1159"/>
    </row>
    <row r="233" spans="1:137" ht="26.25" customHeight="1">
      <c r="A233" s="1160"/>
      <c r="B233" s="1256"/>
      <c r="C233" s="742" t="s">
        <v>12</v>
      </c>
      <c r="D233" s="1151">
        <v>0</v>
      </c>
      <c r="E233" s="1151">
        <v>0</v>
      </c>
      <c r="F233" s="1151">
        <v>0</v>
      </c>
      <c r="G233" s="1152">
        <v>0</v>
      </c>
      <c r="H233" s="1354"/>
      <c r="I233" s="1350" t="s">
        <v>272</v>
      </c>
      <c r="J233" s="1355">
        <f>(J230+0.5*J231)/J229</f>
        <v>0.88095238095238093</v>
      </c>
      <c r="K233" s="1147"/>
      <c r="L233" s="1275"/>
      <c r="M233" s="1165"/>
    </row>
    <row r="234" spans="1:137" s="364" customFormat="1" ht="15">
      <c r="A234" s="1244" t="s">
        <v>604</v>
      </c>
      <c r="B234" s="1259" t="s">
        <v>2836</v>
      </c>
      <c r="C234" s="1171" t="s">
        <v>8</v>
      </c>
      <c r="D234" s="1151">
        <v>8067.8</v>
      </c>
      <c r="E234" s="1151">
        <f>SUM(E235:E238)</f>
        <v>8067.8030000000008</v>
      </c>
      <c r="F234" s="1151">
        <f>SUM(F235:F238)</f>
        <v>8067.8030000000008</v>
      </c>
      <c r="G234" s="1172">
        <f t="shared" si="30"/>
        <v>1.0000003718485833</v>
      </c>
      <c r="H234" s="1136" t="s">
        <v>3165</v>
      </c>
      <c r="I234" s="1136" t="s">
        <v>3099</v>
      </c>
      <c r="J234" s="1260" t="s">
        <v>2955</v>
      </c>
      <c r="K234" s="1136" t="s">
        <v>2981</v>
      </c>
      <c r="L234" s="1207"/>
      <c r="M234" s="1156">
        <v>823</v>
      </c>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row>
    <row r="235" spans="1:137" s="364" customFormat="1" ht="15">
      <c r="A235" s="1247"/>
      <c r="B235" s="1261"/>
      <c r="C235" s="1171" t="s">
        <v>9</v>
      </c>
      <c r="D235" s="1151">
        <v>7462.7</v>
      </c>
      <c r="E235" s="1175">
        <v>7462.7030000000004</v>
      </c>
      <c r="F235" s="1175">
        <v>7462.7030000000004</v>
      </c>
      <c r="G235" s="1172">
        <f t="shared" si="30"/>
        <v>1.0000004019992765</v>
      </c>
      <c r="H235" s="1141"/>
      <c r="I235" s="1141"/>
      <c r="J235" s="1263"/>
      <c r="K235" s="1141"/>
      <c r="L235" s="1234"/>
      <c r="M235" s="1159"/>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row>
    <row r="236" spans="1:137" s="364" customFormat="1" ht="15">
      <c r="A236" s="1247"/>
      <c r="B236" s="1261"/>
      <c r="C236" s="1171" t="s">
        <v>10</v>
      </c>
      <c r="D236" s="1151">
        <v>0</v>
      </c>
      <c r="E236" s="1175">
        <v>0</v>
      </c>
      <c r="F236" s="1175">
        <v>0</v>
      </c>
      <c r="G236" s="1172">
        <v>0</v>
      </c>
      <c r="H236" s="1141"/>
      <c r="I236" s="1141"/>
      <c r="J236" s="1263"/>
      <c r="K236" s="1141"/>
      <c r="L236" s="1234"/>
      <c r="M236" s="1159"/>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row>
    <row r="237" spans="1:137" s="364" customFormat="1" ht="15">
      <c r="A237" s="1247"/>
      <c r="B237" s="1261"/>
      <c r="C237" s="1171" t="s">
        <v>11</v>
      </c>
      <c r="D237" s="1151">
        <v>605.1</v>
      </c>
      <c r="E237" s="1175">
        <v>605.1</v>
      </c>
      <c r="F237" s="1175">
        <v>605.1</v>
      </c>
      <c r="G237" s="1172">
        <f>F237/D237</f>
        <v>1</v>
      </c>
      <c r="H237" s="1141"/>
      <c r="I237" s="1141"/>
      <c r="J237" s="1263"/>
      <c r="K237" s="1141"/>
      <c r="L237" s="1234"/>
      <c r="M237" s="1159"/>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row>
    <row r="238" spans="1:137" s="364" customFormat="1" ht="15">
      <c r="A238" s="1249"/>
      <c r="B238" s="1264"/>
      <c r="C238" s="1171" t="s">
        <v>12</v>
      </c>
      <c r="D238" s="1151">
        <v>0</v>
      </c>
      <c r="E238" s="1175">
        <v>0</v>
      </c>
      <c r="F238" s="1175">
        <v>0</v>
      </c>
      <c r="G238" s="1172">
        <v>0</v>
      </c>
      <c r="H238" s="1147"/>
      <c r="I238" s="1147"/>
      <c r="J238" s="1265"/>
      <c r="K238" s="1147"/>
      <c r="L238" s="1237"/>
      <c r="M238" s="1165"/>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row>
    <row r="239" spans="1:137" s="104" customFormat="1" ht="15" customHeight="1">
      <c r="A239" s="1244" t="s">
        <v>2940</v>
      </c>
      <c r="B239" s="1259" t="s">
        <v>106</v>
      </c>
      <c r="C239" s="1238" t="s">
        <v>8</v>
      </c>
      <c r="D239" s="1166">
        <v>42479.6</v>
      </c>
      <c r="E239" s="1175">
        <f>SUM(E240:E243)</f>
        <v>33305.154000000002</v>
      </c>
      <c r="F239" s="1175">
        <f>SUM(F240:F243)</f>
        <v>33305.154000000002</v>
      </c>
      <c r="G239" s="1172">
        <f t="shared" si="30"/>
        <v>0.78402701532029495</v>
      </c>
      <c r="H239" s="1231" t="s">
        <v>3166</v>
      </c>
      <c r="I239" s="1199" t="s">
        <v>3139</v>
      </c>
      <c r="J239" s="1260" t="s">
        <v>2955</v>
      </c>
      <c r="K239" s="1136" t="s">
        <v>2981</v>
      </c>
      <c r="L239" s="1199" t="s">
        <v>3139</v>
      </c>
      <c r="M239" s="1156">
        <v>823</v>
      </c>
      <c r="N239" s="716"/>
      <c r="O239" s="716"/>
      <c r="P239" s="716"/>
      <c r="Q239" s="716"/>
      <c r="R239" s="716"/>
      <c r="S239" s="716"/>
      <c r="T239" s="716"/>
      <c r="U239" s="716"/>
      <c r="V239" s="716"/>
      <c r="W239" s="716"/>
      <c r="X239" s="716"/>
      <c r="Y239" s="716"/>
      <c r="Z239" s="716"/>
      <c r="AA239" s="716"/>
      <c r="AB239" s="716"/>
      <c r="AC239" s="716"/>
      <c r="AD239" s="716"/>
      <c r="AE239" s="716"/>
      <c r="AF239" s="716"/>
      <c r="AG239" s="716"/>
      <c r="AH239" s="716"/>
      <c r="AI239" s="716"/>
      <c r="AJ239" s="716"/>
      <c r="AK239" s="716"/>
      <c r="AL239" s="716"/>
      <c r="AM239" s="716"/>
      <c r="AN239" s="716"/>
      <c r="AO239" s="716"/>
      <c r="AP239" s="716"/>
      <c r="AQ239" s="716"/>
      <c r="AR239" s="716"/>
      <c r="AS239" s="716"/>
      <c r="AT239" s="716"/>
      <c r="AU239" s="716"/>
      <c r="AV239" s="716"/>
      <c r="AW239" s="716"/>
      <c r="AX239" s="716"/>
      <c r="AY239" s="716"/>
      <c r="AZ239" s="716"/>
      <c r="BA239" s="716"/>
      <c r="BB239" s="716"/>
      <c r="BC239" s="716"/>
      <c r="BD239" s="716"/>
      <c r="BE239" s="716"/>
      <c r="BF239" s="716"/>
      <c r="BG239" s="716"/>
      <c r="BH239" s="716"/>
      <c r="BI239" s="716"/>
      <c r="BJ239" s="716"/>
      <c r="BK239" s="716"/>
      <c r="BL239" s="716"/>
      <c r="BM239" s="716"/>
      <c r="BN239" s="716"/>
      <c r="BO239" s="716"/>
      <c r="BP239" s="716"/>
      <c r="BQ239" s="716"/>
      <c r="BR239" s="716"/>
      <c r="BS239" s="716"/>
      <c r="BT239" s="716"/>
      <c r="BU239" s="716"/>
      <c r="BV239" s="716"/>
      <c r="BW239" s="716"/>
      <c r="BX239" s="716"/>
      <c r="BY239" s="716"/>
      <c r="BZ239" s="716"/>
      <c r="CA239" s="716"/>
      <c r="CB239" s="716"/>
      <c r="CC239" s="716"/>
      <c r="CD239" s="716"/>
      <c r="CE239" s="716"/>
      <c r="CF239" s="716"/>
      <c r="CG239" s="716"/>
      <c r="CH239" s="716"/>
      <c r="CI239" s="716"/>
      <c r="CJ239" s="716"/>
      <c r="CK239" s="716"/>
      <c r="CL239" s="716"/>
      <c r="CM239" s="716"/>
      <c r="CN239" s="716"/>
      <c r="CO239" s="716"/>
      <c r="CP239" s="716"/>
      <c r="CQ239" s="716"/>
      <c r="CR239" s="716"/>
      <c r="CS239" s="716"/>
      <c r="CT239" s="716"/>
      <c r="CU239" s="716"/>
      <c r="CV239" s="716"/>
      <c r="CW239" s="716"/>
      <c r="CX239" s="716"/>
      <c r="CY239" s="716"/>
      <c r="CZ239" s="716"/>
      <c r="DA239" s="716"/>
      <c r="DB239" s="716"/>
      <c r="DC239" s="716"/>
      <c r="DD239" s="716"/>
      <c r="DE239" s="716"/>
      <c r="DF239" s="716"/>
      <c r="DG239" s="716"/>
      <c r="DH239" s="716"/>
      <c r="DI239" s="716"/>
      <c r="DJ239" s="716"/>
      <c r="DK239" s="716"/>
      <c r="DL239" s="716"/>
      <c r="DM239" s="716"/>
      <c r="DN239" s="716"/>
      <c r="DO239" s="716"/>
      <c r="DP239" s="716"/>
      <c r="DQ239" s="716"/>
      <c r="DR239" s="716"/>
      <c r="DS239" s="716"/>
      <c r="DT239" s="716"/>
      <c r="DU239" s="716"/>
      <c r="DV239" s="716"/>
      <c r="DW239" s="716"/>
      <c r="DX239" s="716"/>
      <c r="DY239" s="716"/>
      <c r="DZ239" s="716"/>
      <c r="EA239" s="716"/>
      <c r="EB239" s="716"/>
      <c r="EC239" s="716"/>
      <c r="ED239" s="716"/>
      <c r="EE239" s="716"/>
      <c r="EF239" s="716"/>
      <c r="EG239" s="716"/>
    </row>
    <row r="240" spans="1:137" s="104" customFormat="1" ht="15" customHeight="1">
      <c r="A240" s="1247"/>
      <c r="B240" s="1261"/>
      <c r="C240" s="1171" t="s">
        <v>9</v>
      </c>
      <c r="D240" s="1314">
        <v>42479.6</v>
      </c>
      <c r="E240" s="1175">
        <v>33305.154000000002</v>
      </c>
      <c r="F240" s="1175">
        <v>33305.154000000002</v>
      </c>
      <c r="G240" s="1172">
        <f t="shared" si="30"/>
        <v>0.78402701532029495</v>
      </c>
      <c r="H240" s="1235"/>
      <c r="I240" s="1299"/>
      <c r="J240" s="1263"/>
      <c r="K240" s="1141"/>
      <c r="L240" s="1299"/>
      <c r="M240" s="1159"/>
      <c r="N240" s="716"/>
      <c r="O240" s="716"/>
      <c r="P240" s="716"/>
      <c r="Q240" s="716"/>
      <c r="R240" s="716"/>
      <c r="S240" s="716"/>
      <c r="T240" s="716"/>
      <c r="U240" s="716"/>
      <c r="V240" s="716"/>
      <c r="W240" s="716"/>
      <c r="X240" s="716"/>
      <c r="Y240" s="716"/>
      <c r="Z240" s="716"/>
      <c r="AA240" s="716"/>
      <c r="AB240" s="716"/>
      <c r="AC240" s="716"/>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6"/>
      <c r="AY240" s="716"/>
      <c r="AZ240" s="716"/>
      <c r="BA240" s="716"/>
      <c r="BB240" s="716"/>
      <c r="BC240" s="716"/>
      <c r="BD240" s="716"/>
      <c r="BE240" s="716"/>
      <c r="BF240" s="716"/>
      <c r="BG240" s="716"/>
      <c r="BH240" s="716"/>
      <c r="BI240" s="716"/>
      <c r="BJ240" s="716"/>
      <c r="BK240" s="716"/>
      <c r="BL240" s="716"/>
      <c r="BM240" s="716"/>
      <c r="BN240" s="716"/>
      <c r="BO240" s="716"/>
      <c r="BP240" s="716"/>
      <c r="BQ240" s="716"/>
      <c r="BR240" s="716"/>
      <c r="BS240" s="716"/>
      <c r="BT240" s="716"/>
      <c r="BU240" s="716"/>
      <c r="BV240" s="716"/>
      <c r="BW240" s="716"/>
      <c r="BX240" s="716"/>
      <c r="BY240" s="716"/>
      <c r="BZ240" s="716"/>
      <c r="CA240" s="716"/>
      <c r="CB240" s="716"/>
      <c r="CC240" s="716"/>
      <c r="CD240" s="716"/>
      <c r="CE240" s="716"/>
      <c r="CF240" s="716"/>
      <c r="CG240" s="716"/>
      <c r="CH240" s="716"/>
      <c r="CI240" s="716"/>
      <c r="CJ240" s="716"/>
      <c r="CK240" s="716"/>
      <c r="CL240" s="716"/>
      <c r="CM240" s="716"/>
      <c r="CN240" s="716"/>
      <c r="CO240" s="716"/>
      <c r="CP240" s="716"/>
      <c r="CQ240" s="716"/>
      <c r="CR240" s="716"/>
      <c r="CS240" s="716"/>
      <c r="CT240" s="716"/>
      <c r="CU240" s="716"/>
      <c r="CV240" s="716"/>
      <c r="CW240" s="716"/>
      <c r="CX240" s="716"/>
      <c r="CY240" s="716"/>
      <c r="CZ240" s="716"/>
      <c r="DA240" s="716"/>
      <c r="DB240" s="716"/>
      <c r="DC240" s="716"/>
      <c r="DD240" s="716"/>
      <c r="DE240" s="716"/>
      <c r="DF240" s="716"/>
      <c r="DG240" s="716"/>
      <c r="DH240" s="716"/>
      <c r="DI240" s="716"/>
      <c r="DJ240" s="716"/>
      <c r="DK240" s="716"/>
      <c r="DL240" s="716"/>
      <c r="DM240" s="716"/>
      <c r="DN240" s="716"/>
      <c r="DO240" s="716"/>
      <c r="DP240" s="716"/>
      <c r="DQ240" s="716"/>
      <c r="DR240" s="716"/>
      <c r="DS240" s="716"/>
      <c r="DT240" s="716"/>
      <c r="DU240" s="716"/>
      <c r="DV240" s="716"/>
      <c r="DW240" s="716"/>
      <c r="DX240" s="716"/>
      <c r="DY240" s="716"/>
      <c r="DZ240" s="716"/>
      <c r="EA240" s="716"/>
      <c r="EB240" s="716"/>
      <c r="EC240" s="716"/>
      <c r="ED240" s="716"/>
      <c r="EE240" s="716"/>
      <c r="EF240" s="716"/>
      <c r="EG240" s="716"/>
    </row>
    <row r="241" spans="1:137" s="104" customFormat="1" ht="15" customHeight="1">
      <c r="A241" s="1247"/>
      <c r="B241" s="1261"/>
      <c r="C241" s="1171" t="s">
        <v>10</v>
      </c>
      <c r="D241" s="1314">
        <v>0</v>
      </c>
      <c r="E241" s="1175">
        <v>0</v>
      </c>
      <c r="F241" s="1175">
        <v>0</v>
      </c>
      <c r="G241" s="1172" t="e">
        <f t="shared" si="30"/>
        <v>#DIV/0!</v>
      </c>
      <c r="H241" s="1235"/>
      <c r="I241" s="1299"/>
      <c r="J241" s="1263"/>
      <c r="K241" s="1141"/>
      <c r="L241" s="1299"/>
      <c r="M241" s="1159"/>
      <c r="N241" s="716"/>
      <c r="O241" s="716"/>
      <c r="P241" s="716"/>
      <c r="Q241" s="716"/>
      <c r="R241" s="716"/>
      <c r="S241" s="716"/>
      <c r="T241" s="716"/>
      <c r="U241" s="716"/>
      <c r="V241" s="716"/>
      <c r="W241" s="716"/>
      <c r="X241" s="716"/>
      <c r="Y241" s="716"/>
      <c r="Z241" s="716"/>
      <c r="AA241" s="716"/>
      <c r="AB241" s="716"/>
      <c r="AC241" s="716"/>
      <c r="AD241" s="716"/>
      <c r="AE241" s="716"/>
      <c r="AF241" s="716"/>
      <c r="AG241" s="716"/>
      <c r="AH241" s="716"/>
      <c r="AI241" s="716"/>
      <c r="AJ241" s="716"/>
      <c r="AK241" s="716"/>
      <c r="AL241" s="716"/>
      <c r="AM241" s="716"/>
      <c r="AN241" s="716"/>
      <c r="AO241" s="716"/>
      <c r="AP241" s="716"/>
      <c r="AQ241" s="716"/>
      <c r="AR241" s="716"/>
      <c r="AS241" s="716"/>
      <c r="AT241" s="716"/>
      <c r="AU241" s="716"/>
      <c r="AV241" s="716"/>
      <c r="AW241" s="716"/>
      <c r="AX241" s="716"/>
      <c r="AY241" s="716"/>
      <c r="AZ241" s="716"/>
      <c r="BA241" s="716"/>
      <c r="BB241" s="716"/>
      <c r="BC241" s="716"/>
      <c r="BD241" s="716"/>
      <c r="BE241" s="716"/>
      <c r="BF241" s="716"/>
      <c r="BG241" s="716"/>
      <c r="BH241" s="716"/>
      <c r="BI241" s="716"/>
      <c r="BJ241" s="716"/>
      <c r="BK241" s="716"/>
      <c r="BL241" s="716"/>
      <c r="BM241" s="716"/>
      <c r="BN241" s="716"/>
      <c r="BO241" s="716"/>
      <c r="BP241" s="716"/>
      <c r="BQ241" s="716"/>
      <c r="BR241" s="716"/>
      <c r="BS241" s="716"/>
      <c r="BT241" s="716"/>
      <c r="BU241" s="716"/>
      <c r="BV241" s="716"/>
      <c r="BW241" s="716"/>
      <c r="BX241" s="716"/>
      <c r="BY241" s="716"/>
      <c r="BZ241" s="716"/>
      <c r="CA241" s="716"/>
      <c r="CB241" s="716"/>
      <c r="CC241" s="716"/>
      <c r="CD241" s="716"/>
      <c r="CE241" s="716"/>
      <c r="CF241" s="716"/>
      <c r="CG241" s="716"/>
      <c r="CH241" s="716"/>
      <c r="CI241" s="716"/>
      <c r="CJ241" s="716"/>
      <c r="CK241" s="716"/>
      <c r="CL241" s="716"/>
      <c r="CM241" s="716"/>
      <c r="CN241" s="716"/>
      <c r="CO241" s="716"/>
      <c r="CP241" s="716"/>
      <c r="CQ241" s="716"/>
      <c r="CR241" s="716"/>
      <c r="CS241" s="716"/>
      <c r="CT241" s="716"/>
      <c r="CU241" s="716"/>
      <c r="CV241" s="716"/>
      <c r="CW241" s="716"/>
      <c r="CX241" s="716"/>
      <c r="CY241" s="716"/>
      <c r="CZ241" s="716"/>
      <c r="DA241" s="716"/>
      <c r="DB241" s="716"/>
      <c r="DC241" s="716"/>
      <c r="DD241" s="716"/>
      <c r="DE241" s="716"/>
      <c r="DF241" s="716"/>
      <c r="DG241" s="716"/>
      <c r="DH241" s="716"/>
      <c r="DI241" s="716"/>
      <c r="DJ241" s="716"/>
      <c r="DK241" s="716"/>
      <c r="DL241" s="716"/>
      <c r="DM241" s="716"/>
      <c r="DN241" s="716"/>
      <c r="DO241" s="716"/>
      <c r="DP241" s="716"/>
      <c r="DQ241" s="716"/>
      <c r="DR241" s="716"/>
      <c r="DS241" s="716"/>
      <c r="DT241" s="716"/>
      <c r="DU241" s="716"/>
      <c r="DV241" s="716"/>
      <c r="DW241" s="716"/>
      <c r="DX241" s="716"/>
      <c r="DY241" s="716"/>
      <c r="DZ241" s="716"/>
      <c r="EA241" s="716"/>
      <c r="EB241" s="716"/>
      <c r="EC241" s="716"/>
      <c r="ED241" s="716"/>
      <c r="EE241" s="716"/>
      <c r="EF241" s="716"/>
      <c r="EG241" s="716"/>
    </row>
    <row r="242" spans="1:137" s="104" customFormat="1" ht="15" customHeight="1">
      <c r="A242" s="1247"/>
      <c r="B242" s="1261"/>
      <c r="C242" s="1171" t="s">
        <v>11</v>
      </c>
      <c r="D242" s="1314">
        <v>0</v>
      </c>
      <c r="E242" s="1175">
        <v>0</v>
      </c>
      <c r="F242" s="1175">
        <v>0</v>
      </c>
      <c r="G242" s="1172" t="e">
        <f t="shared" si="30"/>
        <v>#DIV/0!</v>
      </c>
      <c r="H242" s="1235"/>
      <c r="I242" s="1299"/>
      <c r="J242" s="1263"/>
      <c r="K242" s="1141"/>
      <c r="L242" s="1299"/>
      <c r="M242" s="1159"/>
      <c r="N242" s="716"/>
      <c r="O242" s="716"/>
      <c r="P242" s="716"/>
      <c r="Q242" s="716"/>
      <c r="R242" s="716"/>
      <c r="S242" s="716"/>
      <c r="T242" s="716"/>
      <c r="U242" s="716"/>
      <c r="V242" s="716"/>
      <c r="W242" s="716"/>
      <c r="X242" s="716"/>
      <c r="Y242" s="716"/>
      <c r="Z242" s="716"/>
      <c r="AA242" s="716"/>
      <c r="AB242" s="716"/>
      <c r="AC242" s="716"/>
      <c r="AD242" s="716"/>
      <c r="AE242" s="716"/>
      <c r="AF242" s="716"/>
      <c r="AG242" s="716"/>
      <c r="AH242" s="716"/>
      <c r="AI242" s="716"/>
      <c r="AJ242" s="716"/>
      <c r="AK242" s="716"/>
      <c r="AL242" s="716"/>
      <c r="AM242" s="716"/>
      <c r="AN242" s="716"/>
      <c r="AO242" s="716"/>
      <c r="AP242" s="716"/>
      <c r="AQ242" s="716"/>
      <c r="AR242" s="716"/>
      <c r="AS242" s="716"/>
      <c r="AT242" s="716"/>
      <c r="AU242" s="716"/>
      <c r="AV242" s="716"/>
      <c r="AW242" s="716"/>
      <c r="AX242" s="716"/>
      <c r="AY242" s="716"/>
      <c r="AZ242" s="716"/>
      <c r="BA242" s="716"/>
      <c r="BB242" s="716"/>
      <c r="BC242" s="716"/>
      <c r="BD242" s="716"/>
      <c r="BE242" s="716"/>
      <c r="BF242" s="716"/>
      <c r="BG242" s="716"/>
      <c r="BH242" s="716"/>
      <c r="BI242" s="716"/>
      <c r="BJ242" s="716"/>
      <c r="BK242" s="716"/>
      <c r="BL242" s="716"/>
      <c r="BM242" s="716"/>
      <c r="BN242" s="716"/>
      <c r="BO242" s="716"/>
      <c r="BP242" s="716"/>
      <c r="BQ242" s="716"/>
      <c r="BR242" s="716"/>
      <c r="BS242" s="716"/>
      <c r="BT242" s="716"/>
      <c r="BU242" s="716"/>
      <c r="BV242" s="716"/>
      <c r="BW242" s="716"/>
      <c r="BX242" s="716"/>
      <c r="BY242" s="716"/>
      <c r="BZ242" s="716"/>
      <c r="CA242" s="716"/>
      <c r="CB242" s="716"/>
      <c r="CC242" s="716"/>
      <c r="CD242" s="716"/>
      <c r="CE242" s="716"/>
      <c r="CF242" s="716"/>
      <c r="CG242" s="716"/>
      <c r="CH242" s="716"/>
      <c r="CI242" s="716"/>
      <c r="CJ242" s="716"/>
      <c r="CK242" s="716"/>
      <c r="CL242" s="716"/>
      <c r="CM242" s="716"/>
      <c r="CN242" s="716"/>
      <c r="CO242" s="716"/>
      <c r="CP242" s="716"/>
      <c r="CQ242" s="716"/>
      <c r="CR242" s="716"/>
      <c r="CS242" s="716"/>
      <c r="CT242" s="716"/>
      <c r="CU242" s="716"/>
      <c r="CV242" s="716"/>
      <c r="CW242" s="716"/>
      <c r="CX242" s="716"/>
      <c r="CY242" s="716"/>
      <c r="CZ242" s="716"/>
      <c r="DA242" s="716"/>
      <c r="DB242" s="716"/>
      <c r="DC242" s="716"/>
      <c r="DD242" s="716"/>
      <c r="DE242" s="716"/>
      <c r="DF242" s="716"/>
      <c r="DG242" s="716"/>
      <c r="DH242" s="716"/>
      <c r="DI242" s="716"/>
      <c r="DJ242" s="716"/>
      <c r="DK242" s="716"/>
      <c r="DL242" s="716"/>
      <c r="DM242" s="716"/>
      <c r="DN242" s="716"/>
      <c r="DO242" s="716"/>
      <c r="DP242" s="716"/>
      <c r="DQ242" s="716"/>
      <c r="DR242" s="716"/>
      <c r="DS242" s="716"/>
      <c r="DT242" s="716"/>
      <c r="DU242" s="716"/>
      <c r="DV242" s="716"/>
      <c r="DW242" s="716"/>
      <c r="DX242" s="716"/>
      <c r="DY242" s="716"/>
      <c r="DZ242" s="716"/>
      <c r="EA242" s="716"/>
      <c r="EB242" s="716"/>
      <c r="EC242" s="716"/>
      <c r="ED242" s="716"/>
      <c r="EE242" s="716"/>
      <c r="EF242" s="716"/>
      <c r="EG242" s="716"/>
    </row>
    <row r="243" spans="1:137" s="104" customFormat="1" ht="15" customHeight="1">
      <c r="A243" s="1249"/>
      <c r="B243" s="1264"/>
      <c r="C243" s="1171" t="s">
        <v>12</v>
      </c>
      <c r="D243" s="1314">
        <v>0</v>
      </c>
      <c r="E243" s="1175">
        <v>0</v>
      </c>
      <c r="F243" s="1175">
        <v>0</v>
      </c>
      <c r="G243" s="1172" t="e">
        <f t="shared" si="30"/>
        <v>#DIV/0!</v>
      </c>
      <c r="H243" s="1242"/>
      <c r="I243" s="1301"/>
      <c r="J243" s="1265"/>
      <c r="K243" s="1147"/>
      <c r="L243" s="1301"/>
      <c r="M243" s="1165"/>
      <c r="N243" s="716"/>
      <c r="O243" s="716"/>
      <c r="P243" s="716"/>
      <c r="Q243" s="716"/>
      <c r="R243" s="716"/>
      <c r="S243" s="716"/>
      <c r="T243" s="716"/>
      <c r="U243" s="716"/>
      <c r="V243" s="716"/>
      <c r="W243" s="716"/>
      <c r="X243" s="716"/>
      <c r="Y243" s="716"/>
      <c r="Z243" s="716"/>
      <c r="AA243" s="716"/>
      <c r="AB243" s="716"/>
      <c r="AC243" s="716"/>
      <c r="AD243" s="716"/>
      <c r="AE243" s="716"/>
      <c r="AF243" s="716"/>
      <c r="AG243" s="716"/>
      <c r="AH243" s="716"/>
      <c r="AI243" s="716"/>
      <c r="AJ243" s="716"/>
      <c r="AK243" s="716"/>
      <c r="AL243" s="716"/>
      <c r="AM243" s="716"/>
      <c r="AN243" s="716"/>
      <c r="AO243" s="716"/>
      <c r="AP243" s="716"/>
      <c r="AQ243" s="716"/>
      <c r="AR243" s="716"/>
      <c r="AS243" s="716"/>
      <c r="AT243" s="716"/>
      <c r="AU243" s="716"/>
      <c r="AV243" s="716"/>
      <c r="AW243" s="716"/>
      <c r="AX243" s="716"/>
      <c r="AY243" s="716"/>
      <c r="AZ243" s="716"/>
      <c r="BA243" s="716"/>
      <c r="BB243" s="716"/>
      <c r="BC243" s="716"/>
      <c r="BD243" s="716"/>
      <c r="BE243" s="716"/>
      <c r="BF243" s="716"/>
      <c r="BG243" s="716"/>
      <c r="BH243" s="716"/>
      <c r="BI243" s="716"/>
      <c r="BJ243" s="716"/>
      <c r="BK243" s="716"/>
      <c r="BL243" s="716"/>
      <c r="BM243" s="716"/>
      <c r="BN243" s="716"/>
      <c r="BO243" s="716"/>
      <c r="BP243" s="716"/>
      <c r="BQ243" s="716"/>
      <c r="BR243" s="716"/>
      <c r="BS243" s="716"/>
      <c r="BT243" s="716"/>
      <c r="BU243" s="716"/>
      <c r="BV243" s="716"/>
      <c r="BW243" s="716"/>
      <c r="BX243" s="716"/>
      <c r="BY243" s="716"/>
      <c r="BZ243" s="716"/>
      <c r="CA243" s="716"/>
      <c r="CB243" s="716"/>
      <c r="CC243" s="716"/>
      <c r="CD243" s="716"/>
      <c r="CE243" s="716"/>
      <c r="CF243" s="716"/>
      <c r="CG243" s="716"/>
      <c r="CH243" s="716"/>
      <c r="CI243" s="716"/>
      <c r="CJ243" s="716"/>
      <c r="CK243" s="716"/>
      <c r="CL243" s="716"/>
      <c r="CM243" s="716"/>
      <c r="CN243" s="716"/>
      <c r="CO243" s="716"/>
      <c r="CP243" s="716"/>
      <c r="CQ243" s="716"/>
      <c r="CR243" s="716"/>
      <c r="CS243" s="716"/>
      <c r="CT243" s="716"/>
      <c r="CU243" s="716"/>
      <c r="CV243" s="716"/>
      <c r="CW243" s="716"/>
      <c r="CX243" s="716"/>
      <c r="CY243" s="716"/>
      <c r="CZ243" s="716"/>
      <c r="DA243" s="716"/>
      <c r="DB243" s="716"/>
      <c r="DC243" s="716"/>
      <c r="DD243" s="716"/>
      <c r="DE243" s="716"/>
      <c r="DF243" s="716"/>
      <c r="DG243" s="716"/>
      <c r="DH243" s="716"/>
      <c r="DI243" s="716"/>
      <c r="DJ243" s="716"/>
      <c r="DK243" s="716"/>
      <c r="DL243" s="716"/>
      <c r="DM243" s="716"/>
      <c r="DN243" s="716"/>
      <c r="DO243" s="716"/>
      <c r="DP243" s="716"/>
      <c r="DQ243" s="716"/>
      <c r="DR243" s="716"/>
      <c r="DS243" s="716"/>
      <c r="DT243" s="716"/>
      <c r="DU243" s="716"/>
      <c r="DV243" s="716"/>
      <c r="DW243" s="716"/>
      <c r="DX243" s="716"/>
      <c r="DY243" s="716"/>
      <c r="DZ243" s="716"/>
      <c r="EA243" s="716"/>
      <c r="EB243" s="716"/>
      <c r="EC243" s="716"/>
      <c r="ED243" s="716"/>
      <c r="EE243" s="716"/>
      <c r="EF243" s="716"/>
      <c r="EG243" s="716"/>
    </row>
    <row r="244" spans="1:137" s="440" customFormat="1" ht="15">
      <c r="A244" s="1244" t="s">
        <v>2941</v>
      </c>
      <c r="B244" s="1259" t="s">
        <v>2764</v>
      </c>
      <c r="C244" s="1238" t="s">
        <v>8</v>
      </c>
      <c r="D244" s="1151">
        <v>25913.1</v>
      </c>
      <c r="E244" s="1151">
        <f>SUM(E245:E248)</f>
        <v>25851.476999999999</v>
      </c>
      <c r="F244" s="1151">
        <f>SUM(F245:F248)</f>
        <v>25851.476999999999</v>
      </c>
      <c r="G244" s="1172">
        <f t="shared" si="30"/>
        <v>0.99762193639510521</v>
      </c>
      <c r="H244" s="1231" t="s">
        <v>3167</v>
      </c>
      <c r="I244" s="1199" t="s">
        <v>3168</v>
      </c>
      <c r="J244" s="1260" t="s">
        <v>2955</v>
      </c>
      <c r="K244" s="1136" t="s">
        <v>3136</v>
      </c>
      <c r="L244" s="1207"/>
      <c r="M244" s="1156">
        <v>823</v>
      </c>
      <c r="N244" s="716"/>
      <c r="O244" s="716"/>
      <c r="P244" s="716"/>
      <c r="Q244" s="716"/>
      <c r="R244" s="716"/>
      <c r="S244" s="716"/>
      <c r="T244" s="716"/>
      <c r="U244" s="716"/>
      <c r="V244" s="716"/>
      <c r="W244" s="716"/>
      <c r="X244" s="716"/>
      <c r="Y244" s="716"/>
      <c r="Z244" s="716"/>
      <c r="AA244" s="716"/>
      <c r="AB244" s="716"/>
      <c r="AC244" s="716"/>
      <c r="AD244" s="716"/>
      <c r="AE244" s="716"/>
      <c r="AF244" s="716"/>
      <c r="AG244" s="716"/>
      <c r="AH244" s="716"/>
      <c r="AI244" s="716"/>
      <c r="AJ244" s="716"/>
      <c r="AK244" s="716"/>
      <c r="AL244" s="716"/>
      <c r="AM244" s="716"/>
      <c r="AN244" s="716"/>
      <c r="AO244" s="716"/>
      <c r="AP244" s="716"/>
      <c r="AQ244" s="716"/>
      <c r="AR244" s="716"/>
      <c r="AS244" s="716"/>
      <c r="AT244" s="716"/>
      <c r="AU244" s="716"/>
      <c r="AV244" s="716"/>
      <c r="AW244" s="716"/>
      <c r="AX244" s="716"/>
      <c r="AY244" s="716"/>
      <c r="AZ244" s="716"/>
      <c r="BA244" s="716"/>
      <c r="BB244" s="716"/>
      <c r="BC244" s="716"/>
      <c r="BD244" s="716"/>
      <c r="BE244" s="716"/>
      <c r="BF244" s="716"/>
      <c r="BG244" s="716"/>
      <c r="BH244" s="716"/>
      <c r="BI244" s="716"/>
      <c r="BJ244" s="716"/>
      <c r="BK244" s="716"/>
      <c r="BL244" s="716"/>
      <c r="BM244" s="716"/>
      <c r="BN244" s="716"/>
      <c r="BO244" s="716"/>
      <c r="BP244" s="716"/>
      <c r="BQ244" s="716"/>
      <c r="BR244" s="716"/>
      <c r="BS244" s="716"/>
      <c r="BT244" s="716"/>
      <c r="BU244" s="716"/>
      <c r="BV244" s="716"/>
      <c r="BW244" s="716"/>
      <c r="BX244" s="716"/>
      <c r="BY244" s="716"/>
      <c r="BZ244" s="716"/>
      <c r="CA244" s="716"/>
      <c r="CB244" s="716"/>
      <c r="CC244" s="716"/>
      <c r="CD244" s="716"/>
      <c r="CE244" s="716"/>
      <c r="CF244" s="716"/>
      <c r="CG244" s="716"/>
      <c r="CH244" s="716"/>
      <c r="CI244" s="716"/>
      <c r="CJ244" s="716"/>
      <c r="CK244" s="716"/>
      <c r="CL244" s="716"/>
      <c r="CM244" s="716"/>
      <c r="CN244" s="716"/>
      <c r="CO244" s="716"/>
      <c r="CP244" s="716"/>
      <c r="CQ244" s="716"/>
      <c r="CR244" s="716"/>
      <c r="CS244" s="716"/>
      <c r="CT244" s="716"/>
      <c r="CU244" s="716"/>
      <c r="CV244" s="716"/>
      <c r="CW244" s="716"/>
      <c r="CX244" s="716"/>
      <c r="CY244" s="716"/>
      <c r="CZ244" s="716"/>
      <c r="DA244" s="716"/>
      <c r="DB244" s="716"/>
      <c r="DC244" s="716"/>
      <c r="DD244" s="716"/>
      <c r="DE244" s="716"/>
      <c r="DF244" s="716"/>
      <c r="DG244" s="716"/>
      <c r="DH244" s="716"/>
      <c r="DI244" s="716"/>
      <c r="DJ244" s="716"/>
      <c r="DK244" s="716"/>
      <c r="DL244" s="716"/>
      <c r="DM244" s="716"/>
      <c r="DN244" s="716"/>
      <c r="DO244" s="716"/>
      <c r="DP244" s="716"/>
      <c r="DQ244" s="716"/>
      <c r="DR244" s="716"/>
      <c r="DS244" s="716"/>
      <c r="DT244" s="716"/>
      <c r="DU244" s="716"/>
      <c r="DV244" s="716"/>
      <c r="DW244" s="716"/>
      <c r="DX244" s="716"/>
      <c r="DY244" s="716"/>
      <c r="DZ244" s="716"/>
      <c r="EA244" s="716"/>
      <c r="EB244" s="716"/>
      <c r="EC244" s="716"/>
      <c r="ED244" s="716"/>
      <c r="EE244" s="716"/>
      <c r="EF244" s="716"/>
      <c r="EG244" s="716"/>
    </row>
    <row r="245" spans="1:137" s="440" customFormat="1" ht="15">
      <c r="A245" s="1247"/>
      <c r="B245" s="1261"/>
      <c r="C245" s="1171" t="s">
        <v>9</v>
      </c>
      <c r="D245" s="1314">
        <v>25913.1</v>
      </c>
      <c r="E245" s="1175">
        <v>25851.476999999999</v>
      </c>
      <c r="F245" s="1175">
        <v>25851.476999999999</v>
      </c>
      <c r="G245" s="1172">
        <f t="shared" si="30"/>
        <v>0.99762193639510521</v>
      </c>
      <c r="H245" s="1235"/>
      <c r="I245" s="1202"/>
      <c r="J245" s="1263"/>
      <c r="K245" s="1141"/>
      <c r="L245" s="1234"/>
      <c r="M245" s="1159"/>
      <c r="N245" s="716"/>
      <c r="O245" s="716"/>
      <c r="P245" s="716"/>
      <c r="Q245" s="716"/>
      <c r="R245" s="716"/>
      <c r="S245" s="716"/>
      <c r="T245" s="716"/>
      <c r="U245" s="716"/>
      <c r="V245" s="716"/>
      <c r="W245" s="716"/>
      <c r="X245" s="716"/>
      <c r="Y245" s="716"/>
      <c r="Z245" s="716"/>
      <c r="AA245" s="716"/>
      <c r="AB245" s="716"/>
      <c r="AC245" s="716"/>
      <c r="AD245" s="716"/>
      <c r="AE245" s="716"/>
      <c r="AF245" s="716"/>
      <c r="AG245" s="716"/>
      <c r="AH245" s="716"/>
      <c r="AI245" s="716"/>
      <c r="AJ245" s="716"/>
      <c r="AK245" s="716"/>
      <c r="AL245" s="716"/>
      <c r="AM245" s="716"/>
      <c r="AN245" s="716"/>
      <c r="AO245" s="716"/>
      <c r="AP245" s="716"/>
      <c r="AQ245" s="716"/>
      <c r="AR245" s="716"/>
      <c r="AS245" s="716"/>
      <c r="AT245" s="716"/>
      <c r="AU245" s="716"/>
      <c r="AV245" s="716"/>
      <c r="AW245" s="716"/>
      <c r="AX245" s="716"/>
      <c r="AY245" s="716"/>
      <c r="AZ245" s="716"/>
      <c r="BA245" s="716"/>
      <c r="BB245" s="716"/>
      <c r="BC245" s="716"/>
      <c r="BD245" s="716"/>
      <c r="BE245" s="716"/>
      <c r="BF245" s="716"/>
      <c r="BG245" s="716"/>
      <c r="BH245" s="716"/>
      <c r="BI245" s="716"/>
      <c r="BJ245" s="716"/>
      <c r="BK245" s="716"/>
      <c r="BL245" s="716"/>
      <c r="BM245" s="716"/>
      <c r="BN245" s="716"/>
      <c r="BO245" s="716"/>
      <c r="BP245" s="716"/>
      <c r="BQ245" s="716"/>
      <c r="BR245" s="716"/>
      <c r="BS245" s="716"/>
      <c r="BT245" s="716"/>
      <c r="BU245" s="716"/>
      <c r="BV245" s="716"/>
      <c r="BW245" s="716"/>
      <c r="BX245" s="716"/>
      <c r="BY245" s="716"/>
      <c r="BZ245" s="716"/>
      <c r="CA245" s="716"/>
      <c r="CB245" s="716"/>
      <c r="CC245" s="716"/>
      <c r="CD245" s="716"/>
      <c r="CE245" s="716"/>
      <c r="CF245" s="716"/>
      <c r="CG245" s="716"/>
      <c r="CH245" s="716"/>
      <c r="CI245" s="716"/>
      <c r="CJ245" s="716"/>
      <c r="CK245" s="716"/>
      <c r="CL245" s="716"/>
      <c r="CM245" s="716"/>
      <c r="CN245" s="716"/>
      <c r="CO245" s="716"/>
      <c r="CP245" s="716"/>
      <c r="CQ245" s="716"/>
      <c r="CR245" s="716"/>
      <c r="CS245" s="716"/>
      <c r="CT245" s="716"/>
      <c r="CU245" s="716"/>
      <c r="CV245" s="716"/>
      <c r="CW245" s="716"/>
      <c r="CX245" s="716"/>
      <c r="CY245" s="716"/>
      <c r="CZ245" s="716"/>
      <c r="DA245" s="716"/>
      <c r="DB245" s="716"/>
      <c r="DC245" s="716"/>
      <c r="DD245" s="716"/>
      <c r="DE245" s="716"/>
      <c r="DF245" s="716"/>
      <c r="DG245" s="716"/>
      <c r="DH245" s="716"/>
      <c r="DI245" s="716"/>
      <c r="DJ245" s="716"/>
      <c r="DK245" s="716"/>
      <c r="DL245" s="716"/>
      <c r="DM245" s="716"/>
      <c r="DN245" s="716"/>
      <c r="DO245" s="716"/>
      <c r="DP245" s="716"/>
      <c r="DQ245" s="716"/>
      <c r="DR245" s="716"/>
      <c r="DS245" s="716"/>
      <c r="DT245" s="716"/>
      <c r="DU245" s="716"/>
      <c r="DV245" s="716"/>
      <c r="DW245" s="716"/>
      <c r="DX245" s="716"/>
      <c r="DY245" s="716"/>
      <c r="DZ245" s="716"/>
      <c r="EA245" s="716"/>
      <c r="EB245" s="716"/>
      <c r="EC245" s="716"/>
      <c r="ED245" s="716"/>
      <c r="EE245" s="716"/>
      <c r="EF245" s="716"/>
      <c r="EG245" s="716"/>
    </row>
    <row r="246" spans="1:137" s="440" customFormat="1" ht="15">
      <c r="A246" s="1247"/>
      <c r="B246" s="1261"/>
      <c r="C246" s="1171" t="s">
        <v>10</v>
      </c>
      <c r="D246" s="1314">
        <v>0</v>
      </c>
      <c r="E246" s="1175">
        <v>0</v>
      </c>
      <c r="F246" s="1175">
        <v>0</v>
      </c>
      <c r="G246" s="1172">
        <v>0</v>
      </c>
      <c r="H246" s="1235"/>
      <c r="I246" s="1202"/>
      <c r="J246" s="1263"/>
      <c r="K246" s="1141"/>
      <c r="L246" s="1234"/>
      <c r="M246" s="1159"/>
      <c r="N246" s="716"/>
      <c r="O246" s="716"/>
      <c r="P246" s="716"/>
      <c r="Q246" s="716"/>
      <c r="R246" s="716"/>
      <c r="S246" s="716"/>
      <c r="T246" s="716"/>
      <c r="U246" s="716"/>
      <c r="V246" s="716"/>
      <c r="W246" s="716"/>
      <c r="X246" s="716"/>
      <c r="Y246" s="716"/>
      <c r="Z246" s="716"/>
      <c r="AA246" s="716"/>
      <c r="AB246" s="716"/>
      <c r="AC246" s="716"/>
      <c r="AD246" s="716"/>
      <c r="AE246" s="716"/>
      <c r="AF246" s="716"/>
      <c r="AG246" s="716"/>
      <c r="AH246" s="716"/>
      <c r="AI246" s="716"/>
      <c r="AJ246" s="716"/>
      <c r="AK246" s="716"/>
      <c r="AL246" s="716"/>
      <c r="AM246" s="716"/>
      <c r="AN246" s="716"/>
      <c r="AO246" s="716"/>
      <c r="AP246" s="716"/>
      <c r="AQ246" s="716"/>
      <c r="AR246" s="716"/>
      <c r="AS246" s="716"/>
      <c r="AT246" s="716"/>
      <c r="AU246" s="716"/>
      <c r="AV246" s="716"/>
      <c r="AW246" s="716"/>
      <c r="AX246" s="716"/>
      <c r="AY246" s="716"/>
      <c r="AZ246" s="716"/>
      <c r="BA246" s="716"/>
      <c r="BB246" s="716"/>
      <c r="BC246" s="716"/>
      <c r="BD246" s="716"/>
      <c r="BE246" s="716"/>
      <c r="BF246" s="716"/>
      <c r="BG246" s="716"/>
      <c r="BH246" s="716"/>
      <c r="BI246" s="716"/>
      <c r="BJ246" s="716"/>
      <c r="BK246" s="716"/>
      <c r="BL246" s="716"/>
      <c r="BM246" s="716"/>
      <c r="BN246" s="716"/>
      <c r="BO246" s="716"/>
      <c r="BP246" s="716"/>
      <c r="BQ246" s="716"/>
      <c r="BR246" s="716"/>
      <c r="BS246" s="716"/>
      <c r="BT246" s="716"/>
      <c r="BU246" s="716"/>
      <c r="BV246" s="716"/>
      <c r="BW246" s="716"/>
      <c r="BX246" s="716"/>
      <c r="BY246" s="716"/>
      <c r="BZ246" s="716"/>
      <c r="CA246" s="716"/>
      <c r="CB246" s="716"/>
      <c r="CC246" s="716"/>
      <c r="CD246" s="716"/>
      <c r="CE246" s="716"/>
      <c r="CF246" s="716"/>
      <c r="CG246" s="716"/>
      <c r="CH246" s="716"/>
      <c r="CI246" s="716"/>
      <c r="CJ246" s="716"/>
      <c r="CK246" s="716"/>
      <c r="CL246" s="716"/>
      <c r="CM246" s="716"/>
      <c r="CN246" s="716"/>
      <c r="CO246" s="716"/>
      <c r="CP246" s="716"/>
      <c r="CQ246" s="716"/>
      <c r="CR246" s="716"/>
      <c r="CS246" s="716"/>
      <c r="CT246" s="716"/>
      <c r="CU246" s="716"/>
      <c r="CV246" s="716"/>
      <c r="CW246" s="716"/>
      <c r="CX246" s="716"/>
      <c r="CY246" s="716"/>
      <c r="CZ246" s="716"/>
      <c r="DA246" s="716"/>
      <c r="DB246" s="716"/>
      <c r="DC246" s="716"/>
      <c r="DD246" s="716"/>
      <c r="DE246" s="716"/>
      <c r="DF246" s="716"/>
      <c r="DG246" s="716"/>
      <c r="DH246" s="716"/>
      <c r="DI246" s="716"/>
      <c r="DJ246" s="716"/>
      <c r="DK246" s="716"/>
      <c r="DL246" s="716"/>
      <c r="DM246" s="716"/>
      <c r="DN246" s="716"/>
      <c r="DO246" s="716"/>
      <c r="DP246" s="716"/>
      <c r="DQ246" s="716"/>
      <c r="DR246" s="716"/>
      <c r="DS246" s="716"/>
      <c r="DT246" s="716"/>
      <c r="DU246" s="716"/>
      <c r="DV246" s="716"/>
      <c r="DW246" s="716"/>
      <c r="DX246" s="716"/>
      <c r="DY246" s="716"/>
      <c r="DZ246" s="716"/>
      <c r="EA246" s="716"/>
      <c r="EB246" s="716"/>
      <c r="EC246" s="716"/>
      <c r="ED246" s="716"/>
      <c r="EE246" s="716"/>
      <c r="EF246" s="716"/>
      <c r="EG246" s="716"/>
    </row>
    <row r="247" spans="1:137" s="440" customFormat="1" ht="15">
      <c r="A247" s="1247"/>
      <c r="B247" s="1261"/>
      <c r="C247" s="1171" t="s">
        <v>11</v>
      </c>
      <c r="D247" s="1314">
        <v>0</v>
      </c>
      <c r="E247" s="1175">
        <v>0</v>
      </c>
      <c r="F247" s="1175">
        <v>0</v>
      </c>
      <c r="G247" s="1172">
        <v>0</v>
      </c>
      <c r="H247" s="1235"/>
      <c r="I247" s="1202"/>
      <c r="J247" s="1263"/>
      <c r="K247" s="1141"/>
      <c r="L247" s="1234"/>
      <c r="M247" s="1159"/>
      <c r="N247" s="716"/>
      <c r="O247" s="716"/>
      <c r="P247" s="716"/>
      <c r="Q247" s="716"/>
      <c r="R247" s="716"/>
      <c r="S247" s="716"/>
      <c r="T247" s="716"/>
      <c r="U247" s="716"/>
      <c r="V247" s="716"/>
      <c r="W247" s="716"/>
      <c r="X247" s="716"/>
      <c r="Y247" s="716"/>
      <c r="Z247" s="716"/>
      <c r="AA247" s="716"/>
      <c r="AB247" s="716"/>
      <c r="AC247" s="716"/>
      <c r="AD247" s="716"/>
      <c r="AE247" s="716"/>
      <c r="AF247" s="716"/>
      <c r="AG247" s="716"/>
      <c r="AH247" s="716"/>
      <c r="AI247" s="716"/>
      <c r="AJ247" s="716"/>
      <c r="AK247" s="716"/>
      <c r="AL247" s="716"/>
      <c r="AM247" s="716"/>
      <c r="AN247" s="716"/>
      <c r="AO247" s="716"/>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c r="BP247" s="716"/>
      <c r="BQ247" s="716"/>
      <c r="BR247" s="716"/>
      <c r="BS247" s="716"/>
      <c r="BT247" s="716"/>
      <c r="BU247" s="716"/>
      <c r="BV247" s="716"/>
      <c r="BW247" s="716"/>
      <c r="BX247" s="716"/>
      <c r="BY247" s="716"/>
      <c r="BZ247" s="716"/>
      <c r="CA247" s="716"/>
      <c r="CB247" s="716"/>
      <c r="CC247" s="716"/>
      <c r="CD247" s="716"/>
      <c r="CE247" s="716"/>
      <c r="CF247" s="716"/>
      <c r="CG247" s="716"/>
      <c r="CH247" s="716"/>
      <c r="CI247" s="716"/>
      <c r="CJ247" s="716"/>
      <c r="CK247" s="716"/>
      <c r="CL247" s="716"/>
      <c r="CM247" s="716"/>
      <c r="CN247" s="716"/>
      <c r="CO247" s="716"/>
      <c r="CP247" s="716"/>
      <c r="CQ247" s="716"/>
      <c r="CR247" s="716"/>
      <c r="CS247" s="716"/>
      <c r="CT247" s="716"/>
      <c r="CU247" s="716"/>
      <c r="CV247" s="716"/>
      <c r="CW247" s="716"/>
      <c r="CX247" s="716"/>
      <c r="CY247" s="716"/>
      <c r="CZ247" s="716"/>
      <c r="DA247" s="716"/>
      <c r="DB247" s="716"/>
      <c r="DC247" s="716"/>
      <c r="DD247" s="716"/>
      <c r="DE247" s="716"/>
      <c r="DF247" s="716"/>
      <c r="DG247" s="716"/>
      <c r="DH247" s="716"/>
      <c r="DI247" s="716"/>
      <c r="DJ247" s="716"/>
      <c r="DK247" s="716"/>
      <c r="DL247" s="716"/>
      <c r="DM247" s="716"/>
      <c r="DN247" s="716"/>
      <c r="DO247" s="716"/>
      <c r="DP247" s="716"/>
      <c r="DQ247" s="716"/>
      <c r="DR247" s="716"/>
      <c r="DS247" s="716"/>
      <c r="DT247" s="716"/>
      <c r="DU247" s="716"/>
      <c r="DV247" s="716"/>
      <c r="DW247" s="716"/>
      <c r="DX247" s="716"/>
      <c r="DY247" s="716"/>
      <c r="DZ247" s="716"/>
      <c r="EA247" s="716"/>
      <c r="EB247" s="716"/>
      <c r="EC247" s="716"/>
      <c r="ED247" s="716"/>
      <c r="EE247" s="716"/>
      <c r="EF247" s="716"/>
      <c r="EG247" s="716"/>
    </row>
    <row r="248" spans="1:137" s="440" customFormat="1" ht="15">
      <c r="A248" s="1249"/>
      <c r="B248" s="1264"/>
      <c r="C248" s="1171" t="s">
        <v>12</v>
      </c>
      <c r="D248" s="1314">
        <v>0</v>
      </c>
      <c r="E248" s="1175">
        <v>0</v>
      </c>
      <c r="F248" s="1175">
        <v>0</v>
      </c>
      <c r="G248" s="1172">
        <v>0</v>
      </c>
      <c r="H248" s="1242"/>
      <c r="I248" s="1275"/>
      <c r="J248" s="1265"/>
      <c r="K248" s="1147"/>
      <c r="L248" s="1237"/>
      <c r="M248" s="1165"/>
      <c r="N248" s="716"/>
      <c r="O248" s="716"/>
      <c r="P248" s="716"/>
      <c r="Q248" s="716"/>
      <c r="R248" s="716"/>
      <c r="S248" s="716"/>
      <c r="T248" s="716"/>
      <c r="U248" s="716"/>
      <c r="V248" s="716"/>
      <c r="W248" s="716"/>
      <c r="X248" s="716"/>
      <c r="Y248" s="716"/>
      <c r="Z248" s="716"/>
      <c r="AA248" s="716"/>
      <c r="AB248" s="716"/>
      <c r="AC248" s="716"/>
      <c r="AD248" s="716"/>
      <c r="AE248" s="716"/>
      <c r="AF248" s="716"/>
      <c r="AG248" s="716"/>
      <c r="AH248" s="716"/>
      <c r="AI248" s="716"/>
      <c r="AJ248" s="716"/>
      <c r="AK248" s="716"/>
      <c r="AL248" s="716"/>
      <c r="AM248" s="716"/>
      <c r="AN248" s="716"/>
      <c r="AO248" s="716"/>
      <c r="AP248" s="716"/>
      <c r="AQ248" s="716"/>
      <c r="AR248" s="716"/>
      <c r="AS248" s="716"/>
      <c r="AT248" s="716"/>
      <c r="AU248" s="716"/>
      <c r="AV248" s="716"/>
      <c r="AW248" s="716"/>
      <c r="AX248" s="716"/>
      <c r="AY248" s="716"/>
      <c r="AZ248" s="716"/>
      <c r="BA248" s="716"/>
      <c r="BB248" s="716"/>
      <c r="BC248" s="716"/>
      <c r="BD248" s="716"/>
      <c r="BE248" s="716"/>
      <c r="BF248" s="716"/>
      <c r="BG248" s="716"/>
      <c r="BH248" s="716"/>
      <c r="BI248" s="716"/>
      <c r="BJ248" s="716"/>
      <c r="BK248" s="716"/>
      <c r="BL248" s="716"/>
      <c r="BM248" s="716"/>
      <c r="BN248" s="716"/>
      <c r="BO248" s="716"/>
      <c r="BP248" s="716"/>
      <c r="BQ248" s="716"/>
      <c r="BR248" s="716"/>
      <c r="BS248" s="716"/>
      <c r="BT248" s="716"/>
      <c r="BU248" s="716"/>
      <c r="BV248" s="716"/>
      <c r="BW248" s="716"/>
      <c r="BX248" s="716"/>
      <c r="BY248" s="716"/>
      <c r="BZ248" s="716"/>
      <c r="CA248" s="716"/>
      <c r="CB248" s="716"/>
      <c r="CC248" s="716"/>
      <c r="CD248" s="716"/>
      <c r="CE248" s="716"/>
      <c r="CF248" s="716"/>
      <c r="CG248" s="716"/>
      <c r="CH248" s="716"/>
      <c r="CI248" s="716"/>
      <c r="CJ248" s="716"/>
      <c r="CK248" s="716"/>
      <c r="CL248" s="716"/>
      <c r="CM248" s="716"/>
      <c r="CN248" s="716"/>
      <c r="CO248" s="716"/>
      <c r="CP248" s="716"/>
      <c r="CQ248" s="716"/>
      <c r="CR248" s="716"/>
      <c r="CS248" s="716"/>
      <c r="CT248" s="716"/>
      <c r="CU248" s="716"/>
      <c r="CV248" s="716"/>
      <c r="CW248" s="716"/>
      <c r="CX248" s="716"/>
      <c r="CY248" s="716"/>
      <c r="CZ248" s="716"/>
      <c r="DA248" s="716"/>
      <c r="DB248" s="716"/>
      <c r="DC248" s="716"/>
      <c r="DD248" s="716"/>
      <c r="DE248" s="716"/>
      <c r="DF248" s="716"/>
      <c r="DG248" s="716"/>
      <c r="DH248" s="716"/>
      <c r="DI248" s="716"/>
      <c r="DJ248" s="716"/>
      <c r="DK248" s="716"/>
      <c r="DL248" s="716"/>
      <c r="DM248" s="716"/>
      <c r="DN248" s="716"/>
      <c r="DO248" s="716"/>
      <c r="DP248" s="716"/>
      <c r="DQ248" s="716"/>
      <c r="DR248" s="716"/>
      <c r="DS248" s="716"/>
      <c r="DT248" s="716"/>
      <c r="DU248" s="716"/>
      <c r="DV248" s="716"/>
      <c r="DW248" s="716"/>
      <c r="DX248" s="716"/>
      <c r="DY248" s="716"/>
      <c r="DZ248" s="716"/>
      <c r="EA248" s="716"/>
      <c r="EB248" s="716"/>
      <c r="EC248" s="716"/>
      <c r="ED248" s="716"/>
      <c r="EE248" s="716"/>
      <c r="EF248" s="716"/>
      <c r="EG248" s="716"/>
    </row>
    <row r="249" spans="1:137" s="440" customFormat="1" ht="15">
      <c r="A249" s="1244" t="s">
        <v>2942</v>
      </c>
      <c r="B249" s="1259" t="s">
        <v>2855</v>
      </c>
      <c r="C249" s="1238" t="s">
        <v>8</v>
      </c>
      <c r="D249" s="1151">
        <f>SUM(D250:D253)</f>
        <v>2454.2999999999997</v>
      </c>
      <c r="E249" s="1151">
        <f>SUM(E250:E253)</f>
        <v>2453.8999999999996</v>
      </c>
      <c r="F249" s="1151">
        <f>SUM(F250:F253)</f>
        <v>2453.8999999999996</v>
      </c>
      <c r="G249" s="1172">
        <f t="shared" ref="G249:G253" si="31">F249/D249</f>
        <v>0.99983702073911096</v>
      </c>
      <c r="H249" s="1231" t="s">
        <v>3169</v>
      </c>
      <c r="I249" s="1199" t="s">
        <v>3118</v>
      </c>
      <c r="J249" s="1260" t="s">
        <v>2955</v>
      </c>
      <c r="K249" s="1136" t="s">
        <v>2736</v>
      </c>
      <c r="L249" s="1356"/>
      <c r="M249" s="1156">
        <v>807</v>
      </c>
      <c r="N249" s="716"/>
      <c r="O249" s="716"/>
      <c r="P249" s="716"/>
      <c r="Q249" s="716"/>
      <c r="R249" s="716"/>
      <c r="S249" s="716"/>
      <c r="T249" s="716"/>
      <c r="U249" s="716"/>
      <c r="V249" s="716"/>
      <c r="W249" s="716"/>
      <c r="X249" s="716"/>
      <c r="Y249" s="716"/>
      <c r="Z249" s="716"/>
      <c r="AA249" s="716"/>
      <c r="AB249" s="716"/>
      <c r="AC249" s="716"/>
      <c r="AD249" s="716"/>
      <c r="AE249" s="716"/>
      <c r="AF249" s="716"/>
      <c r="AG249" s="716"/>
      <c r="AH249" s="716"/>
      <c r="AI249" s="716"/>
      <c r="AJ249" s="716"/>
      <c r="AK249" s="716"/>
      <c r="AL249" s="716"/>
      <c r="AM249" s="716"/>
      <c r="AN249" s="716"/>
      <c r="AO249" s="716"/>
      <c r="AP249" s="716"/>
      <c r="AQ249" s="716"/>
      <c r="AR249" s="716"/>
      <c r="AS249" s="716"/>
      <c r="AT249" s="716"/>
      <c r="AU249" s="716"/>
      <c r="AV249" s="716"/>
      <c r="AW249" s="716"/>
      <c r="AX249" s="716"/>
      <c r="AY249" s="716"/>
      <c r="AZ249" s="716"/>
      <c r="BA249" s="716"/>
      <c r="BB249" s="716"/>
      <c r="BC249" s="716"/>
      <c r="BD249" s="716"/>
      <c r="BE249" s="716"/>
      <c r="BF249" s="716"/>
      <c r="BG249" s="716"/>
      <c r="BH249" s="716"/>
      <c r="BI249" s="716"/>
      <c r="BJ249" s="716"/>
      <c r="BK249" s="716"/>
      <c r="BL249" s="716"/>
      <c r="BM249" s="716"/>
      <c r="BN249" s="716"/>
      <c r="BO249" s="716"/>
      <c r="BP249" s="716"/>
      <c r="BQ249" s="716"/>
      <c r="BR249" s="716"/>
      <c r="BS249" s="716"/>
      <c r="BT249" s="716"/>
      <c r="BU249" s="716"/>
      <c r="BV249" s="716"/>
      <c r="BW249" s="716"/>
      <c r="BX249" s="716"/>
      <c r="BY249" s="716"/>
      <c r="BZ249" s="716"/>
      <c r="CA249" s="716"/>
      <c r="CB249" s="716"/>
      <c r="CC249" s="716"/>
      <c r="CD249" s="716"/>
      <c r="CE249" s="716"/>
      <c r="CF249" s="716"/>
      <c r="CG249" s="716"/>
      <c r="CH249" s="716"/>
      <c r="CI249" s="716"/>
      <c r="CJ249" s="716"/>
      <c r="CK249" s="716"/>
      <c r="CL249" s="716"/>
      <c r="CM249" s="716"/>
      <c r="CN249" s="716"/>
      <c r="CO249" s="716"/>
      <c r="CP249" s="716"/>
      <c r="CQ249" s="716"/>
      <c r="CR249" s="716"/>
      <c r="CS249" s="716"/>
      <c r="CT249" s="716"/>
      <c r="CU249" s="716"/>
      <c r="CV249" s="716"/>
      <c r="CW249" s="716"/>
      <c r="CX249" s="716"/>
      <c r="CY249" s="716"/>
      <c r="CZ249" s="716"/>
      <c r="DA249" s="716"/>
      <c r="DB249" s="716"/>
      <c r="DC249" s="716"/>
      <c r="DD249" s="716"/>
      <c r="DE249" s="716"/>
      <c r="DF249" s="716"/>
      <c r="DG249" s="716"/>
      <c r="DH249" s="716"/>
      <c r="DI249" s="716"/>
      <c r="DJ249" s="716"/>
      <c r="DK249" s="716"/>
      <c r="DL249" s="716"/>
      <c r="DM249" s="716"/>
      <c r="DN249" s="716"/>
      <c r="DO249" s="716"/>
      <c r="DP249" s="716"/>
      <c r="DQ249" s="716"/>
      <c r="DR249" s="716"/>
      <c r="DS249" s="716"/>
      <c r="DT249" s="716"/>
      <c r="DU249" s="716"/>
      <c r="DV249" s="716"/>
      <c r="DW249" s="716"/>
      <c r="DX249" s="716"/>
      <c r="DY249" s="716"/>
      <c r="DZ249" s="716"/>
      <c r="EA249" s="716"/>
      <c r="EB249" s="716"/>
      <c r="EC249" s="716"/>
      <c r="ED249" s="716"/>
      <c r="EE249" s="716"/>
      <c r="EF249" s="716"/>
      <c r="EG249" s="716"/>
    </row>
    <row r="250" spans="1:137" s="440" customFormat="1" ht="15">
      <c r="A250" s="1247"/>
      <c r="B250" s="1261"/>
      <c r="C250" s="1171" t="s">
        <v>9</v>
      </c>
      <c r="D250" s="1314">
        <v>2331.6</v>
      </c>
      <c r="E250" s="1151">
        <v>2331.1999999999998</v>
      </c>
      <c r="F250" s="1151">
        <v>2331.1999999999998</v>
      </c>
      <c r="G250" s="1172">
        <f t="shared" si="31"/>
        <v>0.99982844398696169</v>
      </c>
      <c r="H250" s="1235"/>
      <c r="I250" s="1202"/>
      <c r="J250" s="1263"/>
      <c r="K250" s="1141"/>
      <c r="L250" s="1290"/>
      <c r="M250" s="1159"/>
      <c r="N250" s="716"/>
      <c r="O250" s="716"/>
      <c r="P250" s="716"/>
      <c r="Q250" s="716"/>
      <c r="R250" s="716"/>
      <c r="S250" s="716"/>
      <c r="T250" s="716"/>
      <c r="U250" s="716"/>
      <c r="V250" s="716"/>
      <c r="W250" s="716"/>
      <c r="X250" s="716"/>
      <c r="Y250" s="716"/>
      <c r="Z250" s="716"/>
      <c r="AA250" s="716"/>
      <c r="AB250" s="716"/>
      <c r="AC250" s="716"/>
      <c r="AD250" s="716"/>
      <c r="AE250" s="716"/>
      <c r="AF250" s="716"/>
      <c r="AG250" s="716"/>
      <c r="AH250" s="716"/>
      <c r="AI250" s="716"/>
      <c r="AJ250" s="716"/>
      <c r="AK250" s="716"/>
      <c r="AL250" s="716"/>
      <c r="AM250" s="716"/>
      <c r="AN250" s="716"/>
      <c r="AO250" s="716"/>
      <c r="AP250" s="716"/>
      <c r="AQ250" s="716"/>
      <c r="AR250" s="716"/>
      <c r="AS250" s="716"/>
      <c r="AT250" s="716"/>
      <c r="AU250" s="716"/>
      <c r="AV250" s="716"/>
      <c r="AW250" s="716"/>
      <c r="AX250" s="716"/>
      <c r="AY250" s="716"/>
      <c r="AZ250" s="716"/>
      <c r="BA250" s="716"/>
      <c r="BB250" s="716"/>
      <c r="BC250" s="716"/>
      <c r="BD250" s="716"/>
      <c r="BE250" s="716"/>
      <c r="BF250" s="716"/>
      <c r="BG250" s="716"/>
      <c r="BH250" s="716"/>
      <c r="BI250" s="716"/>
      <c r="BJ250" s="716"/>
      <c r="BK250" s="716"/>
      <c r="BL250" s="716"/>
      <c r="BM250" s="716"/>
      <c r="BN250" s="716"/>
      <c r="BO250" s="716"/>
      <c r="BP250" s="716"/>
      <c r="BQ250" s="716"/>
      <c r="BR250" s="716"/>
      <c r="BS250" s="716"/>
      <c r="BT250" s="716"/>
      <c r="BU250" s="716"/>
      <c r="BV250" s="716"/>
      <c r="BW250" s="716"/>
      <c r="BX250" s="716"/>
      <c r="BY250" s="716"/>
      <c r="BZ250" s="716"/>
      <c r="CA250" s="716"/>
      <c r="CB250" s="716"/>
      <c r="CC250" s="716"/>
      <c r="CD250" s="716"/>
      <c r="CE250" s="716"/>
      <c r="CF250" s="716"/>
      <c r="CG250" s="716"/>
      <c r="CH250" s="716"/>
      <c r="CI250" s="716"/>
      <c r="CJ250" s="716"/>
      <c r="CK250" s="716"/>
      <c r="CL250" s="716"/>
      <c r="CM250" s="716"/>
      <c r="CN250" s="716"/>
      <c r="CO250" s="716"/>
      <c r="CP250" s="716"/>
      <c r="CQ250" s="716"/>
      <c r="CR250" s="716"/>
      <c r="CS250" s="716"/>
      <c r="CT250" s="716"/>
      <c r="CU250" s="716"/>
      <c r="CV250" s="716"/>
      <c r="CW250" s="716"/>
      <c r="CX250" s="716"/>
      <c r="CY250" s="716"/>
      <c r="CZ250" s="716"/>
      <c r="DA250" s="716"/>
      <c r="DB250" s="716"/>
      <c r="DC250" s="716"/>
      <c r="DD250" s="716"/>
      <c r="DE250" s="716"/>
      <c r="DF250" s="716"/>
      <c r="DG250" s="716"/>
      <c r="DH250" s="716"/>
      <c r="DI250" s="716"/>
      <c r="DJ250" s="716"/>
      <c r="DK250" s="716"/>
      <c r="DL250" s="716"/>
      <c r="DM250" s="716"/>
      <c r="DN250" s="716"/>
      <c r="DO250" s="716"/>
      <c r="DP250" s="716"/>
      <c r="DQ250" s="716"/>
      <c r="DR250" s="716"/>
      <c r="DS250" s="716"/>
      <c r="DT250" s="716"/>
      <c r="DU250" s="716"/>
      <c r="DV250" s="716"/>
      <c r="DW250" s="716"/>
      <c r="DX250" s="716"/>
      <c r="DY250" s="716"/>
      <c r="DZ250" s="716"/>
      <c r="EA250" s="716"/>
      <c r="EB250" s="716"/>
      <c r="EC250" s="716"/>
      <c r="ED250" s="716"/>
      <c r="EE250" s="716"/>
      <c r="EF250" s="716"/>
      <c r="EG250" s="716"/>
    </row>
    <row r="251" spans="1:137" s="440" customFormat="1" ht="15">
      <c r="A251" s="1247"/>
      <c r="B251" s="1261"/>
      <c r="C251" s="1171" t="s">
        <v>10</v>
      </c>
      <c r="D251" s="1314">
        <v>0</v>
      </c>
      <c r="E251" s="1151">
        <v>0</v>
      </c>
      <c r="F251" s="1151">
        <v>0</v>
      </c>
      <c r="G251" s="1172" t="e">
        <f t="shared" si="31"/>
        <v>#DIV/0!</v>
      </c>
      <c r="H251" s="1235"/>
      <c r="I251" s="1202"/>
      <c r="J251" s="1263"/>
      <c r="K251" s="1141"/>
      <c r="L251" s="1290"/>
      <c r="M251" s="1159"/>
      <c r="N251" s="716"/>
      <c r="O251" s="716"/>
      <c r="P251" s="716"/>
      <c r="Q251" s="716"/>
      <c r="R251" s="716"/>
      <c r="S251" s="716"/>
      <c r="T251" s="716"/>
      <c r="U251" s="716"/>
      <c r="V251" s="716"/>
      <c r="W251" s="716"/>
      <c r="X251" s="716"/>
      <c r="Y251" s="716"/>
      <c r="Z251" s="716"/>
      <c r="AA251" s="716"/>
      <c r="AB251" s="716"/>
      <c r="AC251" s="716"/>
      <c r="AD251" s="716"/>
      <c r="AE251" s="716"/>
      <c r="AF251" s="716"/>
      <c r="AG251" s="716"/>
      <c r="AH251" s="716"/>
      <c r="AI251" s="716"/>
      <c r="AJ251" s="716"/>
      <c r="AK251" s="716"/>
      <c r="AL251" s="716"/>
      <c r="AM251" s="716"/>
      <c r="AN251" s="716"/>
      <c r="AO251" s="716"/>
      <c r="AP251" s="716"/>
      <c r="AQ251" s="716"/>
      <c r="AR251" s="716"/>
      <c r="AS251" s="716"/>
      <c r="AT251" s="716"/>
      <c r="AU251" s="716"/>
      <c r="AV251" s="716"/>
      <c r="AW251" s="716"/>
      <c r="AX251" s="716"/>
      <c r="AY251" s="716"/>
      <c r="AZ251" s="716"/>
      <c r="BA251" s="716"/>
      <c r="BB251" s="716"/>
      <c r="BC251" s="716"/>
      <c r="BD251" s="716"/>
      <c r="BE251" s="716"/>
      <c r="BF251" s="716"/>
      <c r="BG251" s="716"/>
      <c r="BH251" s="716"/>
      <c r="BI251" s="716"/>
      <c r="BJ251" s="716"/>
      <c r="BK251" s="716"/>
      <c r="BL251" s="716"/>
      <c r="BM251" s="716"/>
      <c r="BN251" s="716"/>
      <c r="BO251" s="716"/>
      <c r="BP251" s="716"/>
      <c r="BQ251" s="716"/>
      <c r="BR251" s="716"/>
      <c r="BS251" s="716"/>
      <c r="BT251" s="716"/>
      <c r="BU251" s="716"/>
      <c r="BV251" s="716"/>
      <c r="BW251" s="716"/>
      <c r="BX251" s="716"/>
      <c r="BY251" s="716"/>
      <c r="BZ251" s="716"/>
      <c r="CA251" s="716"/>
      <c r="CB251" s="716"/>
      <c r="CC251" s="716"/>
      <c r="CD251" s="716"/>
      <c r="CE251" s="716"/>
      <c r="CF251" s="716"/>
      <c r="CG251" s="716"/>
      <c r="CH251" s="716"/>
      <c r="CI251" s="716"/>
      <c r="CJ251" s="716"/>
      <c r="CK251" s="716"/>
      <c r="CL251" s="716"/>
      <c r="CM251" s="716"/>
      <c r="CN251" s="716"/>
      <c r="CO251" s="716"/>
      <c r="CP251" s="716"/>
      <c r="CQ251" s="716"/>
      <c r="CR251" s="716"/>
      <c r="CS251" s="716"/>
      <c r="CT251" s="716"/>
      <c r="CU251" s="716"/>
      <c r="CV251" s="716"/>
      <c r="CW251" s="716"/>
      <c r="CX251" s="716"/>
      <c r="CY251" s="716"/>
      <c r="CZ251" s="716"/>
      <c r="DA251" s="716"/>
      <c r="DB251" s="716"/>
      <c r="DC251" s="716"/>
      <c r="DD251" s="716"/>
      <c r="DE251" s="716"/>
      <c r="DF251" s="716"/>
      <c r="DG251" s="716"/>
      <c r="DH251" s="716"/>
      <c r="DI251" s="716"/>
      <c r="DJ251" s="716"/>
      <c r="DK251" s="716"/>
      <c r="DL251" s="716"/>
      <c r="DM251" s="716"/>
      <c r="DN251" s="716"/>
      <c r="DO251" s="716"/>
      <c r="DP251" s="716"/>
      <c r="DQ251" s="716"/>
      <c r="DR251" s="716"/>
      <c r="DS251" s="716"/>
      <c r="DT251" s="716"/>
      <c r="DU251" s="716"/>
      <c r="DV251" s="716"/>
      <c r="DW251" s="716"/>
      <c r="DX251" s="716"/>
      <c r="DY251" s="716"/>
      <c r="DZ251" s="716"/>
      <c r="EA251" s="716"/>
      <c r="EB251" s="716"/>
      <c r="EC251" s="716"/>
      <c r="ED251" s="716"/>
      <c r="EE251" s="716"/>
      <c r="EF251" s="716"/>
      <c r="EG251" s="716"/>
    </row>
    <row r="252" spans="1:137" s="440" customFormat="1" ht="15">
      <c r="A252" s="1247"/>
      <c r="B252" s="1261"/>
      <c r="C252" s="1171" t="s">
        <v>11</v>
      </c>
      <c r="D252" s="1314">
        <v>122.7</v>
      </c>
      <c r="E252" s="1151">
        <v>122.7</v>
      </c>
      <c r="F252" s="1151">
        <v>122.7</v>
      </c>
      <c r="G252" s="1172">
        <f t="shared" si="31"/>
        <v>1</v>
      </c>
      <c r="H252" s="1235"/>
      <c r="I252" s="1202"/>
      <c r="J252" s="1263"/>
      <c r="K252" s="1141"/>
      <c r="L252" s="1290"/>
      <c r="M252" s="1159"/>
      <c r="N252" s="716"/>
      <c r="O252" s="716"/>
      <c r="P252" s="716"/>
      <c r="Q252" s="716"/>
      <c r="R252" s="716"/>
      <c r="S252" s="716"/>
      <c r="T252" s="716"/>
      <c r="U252" s="716"/>
      <c r="V252" s="716"/>
      <c r="W252" s="716"/>
      <c r="X252" s="716"/>
      <c r="Y252" s="716"/>
      <c r="Z252" s="716"/>
      <c r="AA252" s="716"/>
      <c r="AB252" s="716"/>
      <c r="AC252" s="716"/>
      <c r="AD252" s="716"/>
      <c r="AE252" s="716"/>
      <c r="AF252" s="716"/>
      <c r="AG252" s="716"/>
      <c r="AH252" s="716"/>
      <c r="AI252" s="716"/>
      <c r="AJ252" s="716"/>
      <c r="AK252" s="716"/>
      <c r="AL252" s="716"/>
      <c r="AM252" s="716"/>
      <c r="AN252" s="716"/>
      <c r="AO252" s="716"/>
      <c r="AP252" s="716"/>
      <c r="AQ252" s="716"/>
      <c r="AR252" s="716"/>
      <c r="AS252" s="716"/>
      <c r="AT252" s="716"/>
      <c r="AU252" s="716"/>
      <c r="AV252" s="716"/>
      <c r="AW252" s="716"/>
      <c r="AX252" s="716"/>
      <c r="AY252" s="716"/>
      <c r="AZ252" s="716"/>
      <c r="BA252" s="716"/>
      <c r="BB252" s="716"/>
      <c r="BC252" s="716"/>
      <c r="BD252" s="716"/>
      <c r="BE252" s="716"/>
      <c r="BF252" s="716"/>
      <c r="BG252" s="716"/>
      <c r="BH252" s="716"/>
      <c r="BI252" s="716"/>
      <c r="BJ252" s="716"/>
      <c r="BK252" s="716"/>
      <c r="BL252" s="716"/>
      <c r="BM252" s="716"/>
      <c r="BN252" s="716"/>
      <c r="BO252" s="716"/>
      <c r="BP252" s="716"/>
      <c r="BQ252" s="716"/>
      <c r="BR252" s="716"/>
      <c r="BS252" s="716"/>
      <c r="BT252" s="716"/>
      <c r="BU252" s="716"/>
      <c r="BV252" s="716"/>
      <c r="BW252" s="716"/>
      <c r="BX252" s="716"/>
      <c r="BY252" s="716"/>
      <c r="BZ252" s="716"/>
      <c r="CA252" s="716"/>
      <c r="CB252" s="716"/>
      <c r="CC252" s="716"/>
      <c r="CD252" s="716"/>
      <c r="CE252" s="716"/>
      <c r="CF252" s="716"/>
      <c r="CG252" s="716"/>
      <c r="CH252" s="716"/>
      <c r="CI252" s="716"/>
      <c r="CJ252" s="716"/>
      <c r="CK252" s="716"/>
      <c r="CL252" s="716"/>
      <c r="CM252" s="716"/>
      <c r="CN252" s="716"/>
      <c r="CO252" s="716"/>
      <c r="CP252" s="716"/>
      <c r="CQ252" s="716"/>
      <c r="CR252" s="716"/>
      <c r="CS252" s="716"/>
      <c r="CT252" s="716"/>
      <c r="CU252" s="716"/>
      <c r="CV252" s="716"/>
      <c r="CW252" s="716"/>
      <c r="CX252" s="716"/>
      <c r="CY252" s="716"/>
      <c r="CZ252" s="716"/>
      <c r="DA252" s="716"/>
      <c r="DB252" s="716"/>
      <c r="DC252" s="716"/>
      <c r="DD252" s="716"/>
      <c r="DE252" s="716"/>
      <c r="DF252" s="716"/>
      <c r="DG252" s="716"/>
      <c r="DH252" s="716"/>
      <c r="DI252" s="716"/>
      <c r="DJ252" s="716"/>
      <c r="DK252" s="716"/>
      <c r="DL252" s="716"/>
      <c r="DM252" s="716"/>
      <c r="DN252" s="716"/>
      <c r="DO252" s="716"/>
      <c r="DP252" s="716"/>
      <c r="DQ252" s="716"/>
      <c r="DR252" s="716"/>
      <c r="DS252" s="716"/>
      <c r="DT252" s="716"/>
      <c r="DU252" s="716"/>
      <c r="DV252" s="716"/>
      <c r="DW252" s="716"/>
      <c r="DX252" s="716"/>
      <c r="DY252" s="716"/>
      <c r="DZ252" s="716"/>
      <c r="EA252" s="716"/>
      <c r="EB252" s="716"/>
      <c r="EC252" s="716"/>
      <c r="ED252" s="716"/>
      <c r="EE252" s="716"/>
      <c r="EF252" s="716"/>
      <c r="EG252" s="716"/>
    </row>
    <row r="253" spans="1:137" s="440" customFormat="1" ht="26.25" customHeight="1">
      <c r="A253" s="1249"/>
      <c r="B253" s="1264"/>
      <c r="C253" s="1171" t="s">
        <v>12</v>
      </c>
      <c r="D253" s="1314">
        <v>0</v>
      </c>
      <c r="E253" s="1151">
        <v>0</v>
      </c>
      <c r="F253" s="1151">
        <v>0</v>
      </c>
      <c r="G253" s="1172" t="e">
        <f t="shared" si="31"/>
        <v>#DIV/0!</v>
      </c>
      <c r="H253" s="1242"/>
      <c r="I253" s="1275"/>
      <c r="J253" s="1265"/>
      <c r="K253" s="1147"/>
      <c r="L253" s="1293"/>
      <c r="M253" s="1165"/>
      <c r="N253" s="716"/>
      <c r="O253" s="716"/>
      <c r="P253" s="716"/>
      <c r="Q253" s="716"/>
      <c r="R253" s="716"/>
      <c r="S253" s="716"/>
      <c r="T253" s="716"/>
      <c r="U253" s="716"/>
      <c r="V253" s="716"/>
      <c r="W253" s="716"/>
      <c r="X253" s="716"/>
      <c r="Y253" s="716"/>
      <c r="Z253" s="716"/>
      <c r="AA253" s="716"/>
      <c r="AB253" s="716"/>
      <c r="AC253" s="716"/>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6"/>
      <c r="AY253" s="716"/>
      <c r="AZ253" s="716"/>
      <c r="BA253" s="716"/>
      <c r="BB253" s="716"/>
      <c r="BC253" s="716"/>
      <c r="BD253" s="716"/>
      <c r="BE253" s="716"/>
      <c r="BF253" s="716"/>
      <c r="BG253" s="716"/>
      <c r="BH253" s="716"/>
      <c r="BI253" s="716"/>
      <c r="BJ253" s="716"/>
      <c r="BK253" s="716"/>
      <c r="BL253" s="716"/>
      <c r="BM253" s="716"/>
      <c r="BN253" s="716"/>
      <c r="BO253" s="716"/>
      <c r="BP253" s="716"/>
      <c r="BQ253" s="716"/>
      <c r="BR253" s="716"/>
      <c r="BS253" s="716"/>
      <c r="BT253" s="716"/>
      <c r="BU253" s="716"/>
      <c r="BV253" s="716"/>
      <c r="BW253" s="716"/>
      <c r="BX253" s="716"/>
      <c r="BY253" s="716"/>
      <c r="BZ253" s="716"/>
      <c r="CA253" s="716"/>
      <c r="CB253" s="716"/>
      <c r="CC253" s="716"/>
      <c r="CD253" s="716"/>
      <c r="CE253" s="716"/>
      <c r="CF253" s="716"/>
      <c r="CG253" s="716"/>
      <c r="CH253" s="716"/>
      <c r="CI253" s="716"/>
      <c r="CJ253" s="716"/>
      <c r="CK253" s="716"/>
      <c r="CL253" s="716"/>
      <c r="CM253" s="716"/>
      <c r="CN253" s="716"/>
      <c r="CO253" s="716"/>
      <c r="CP253" s="716"/>
      <c r="CQ253" s="716"/>
      <c r="CR253" s="716"/>
      <c r="CS253" s="716"/>
      <c r="CT253" s="716"/>
      <c r="CU253" s="716"/>
      <c r="CV253" s="716"/>
      <c r="CW253" s="716"/>
      <c r="CX253" s="716"/>
      <c r="CY253" s="716"/>
      <c r="CZ253" s="716"/>
      <c r="DA253" s="716"/>
      <c r="DB253" s="716"/>
      <c r="DC253" s="716"/>
      <c r="DD253" s="716"/>
      <c r="DE253" s="716"/>
      <c r="DF253" s="716"/>
      <c r="DG253" s="716"/>
      <c r="DH253" s="716"/>
      <c r="DI253" s="716"/>
      <c r="DJ253" s="716"/>
      <c r="DK253" s="716"/>
      <c r="DL253" s="716"/>
      <c r="DM253" s="716"/>
      <c r="DN253" s="716"/>
      <c r="DO253" s="716"/>
      <c r="DP253" s="716"/>
      <c r="DQ253" s="716"/>
      <c r="DR253" s="716"/>
      <c r="DS253" s="716"/>
      <c r="DT253" s="716"/>
      <c r="DU253" s="716"/>
      <c r="DV253" s="716"/>
      <c r="DW253" s="716"/>
      <c r="DX253" s="716"/>
      <c r="DY253" s="716"/>
      <c r="DZ253" s="716"/>
      <c r="EA253" s="716"/>
      <c r="EB253" s="716"/>
      <c r="EC253" s="716"/>
      <c r="ED253" s="716"/>
      <c r="EE253" s="716"/>
      <c r="EF253" s="716"/>
      <c r="EG253" s="716"/>
    </row>
    <row r="254" spans="1:137" s="364" customFormat="1" ht="15" customHeight="1">
      <c r="A254" s="1244" t="s">
        <v>2943</v>
      </c>
      <c r="B254" s="1266" t="s">
        <v>2924</v>
      </c>
      <c r="C254" s="1171" t="s">
        <v>8</v>
      </c>
      <c r="D254" s="1327">
        <f>SUM(D255:D258)</f>
        <v>20912.8</v>
      </c>
      <c r="E254" s="1327">
        <f>SUM(E255:E258)</f>
        <v>20000</v>
      </c>
      <c r="F254" s="1151">
        <f>SUM(F255:F258)</f>
        <v>20000</v>
      </c>
      <c r="G254" s="1172">
        <f t="shared" ref="G254:G270" si="32">F254/D254</f>
        <v>0.95635209058567006</v>
      </c>
      <c r="H254" s="1267" t="s">
        <v>3170</v>
      </c>
      <c r="I254" s="1199" t="s">
        <v>3119</v>
      </c>
      <c r="J254" s="1260" t="s">
        <v>2955</v>
      </c>
      <c r="K254" s="1137" t="s">
        <v>2837</v>
      </c>
      <c r="L254" s="1356" t="s">
        <v>3120</v>
      </c>
      <c r="M254" s="1332">
        <v>807</v>
      </c>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6"/>
      <c r="DF254" s="36"/>
      <c r="DG254" s="36"/>
      <c r="DH254" s="36"/>
      <c r="DI254" s="36"/>
      <c r="DJ254" s="36"/>
      <c r="DK254" s="36"/>
      <c r="DL254" s="36"/>
      <c r="DM254" s="36"/>
      <c r="DN254" s="36"/>
      <c r="DO254" s="36"/>
      <c r="DP254" s="36"/>
      <c r="DQ254" s="36"/>
      <c r="DR254" s="36"/>
      <c r="DS254" s="36"/>
      <c r="DT254" s="36"/>
      <c r="DU254" s="36"/>
      <c r="DV254" s="36"/>
      <c r="DW254" s="36"/>
      <c r="DX254" s="36"/>
      <c r="DY254" s="36"/>
      <c r="DZ254" s="36"/>
      <c r="EA254" s="36"/>
      <c r="EB254" s="36"/>
      <c r="EC254" s="36"/>
      <c r="ED254" s="36"/>
      <c r="EE254" s="36"/>
      <c r="EF254" s="36"/>
      <c r="EG254" s="36"/>
    </row>
    <row r="255" spans="1:137" s="364" customFormat="1" ht="15">
      <c r="A255" s="1247"/>
      <c r="B255" s="1266"/>
      <c r="C255" s="1171" t="s">
        <v>9</v>
      </c>
      <c r="D255" s="1327">
        <v>20912.8</v>
      </c>
      <c r="E255" s="1175">
        <v>20000</v>
      </c>
      <c r="F255" s="1175">
        <v>20000</v>
      </c>
      <c r="G255" s="1172">
        <f t="shared" si="32"/>
        <v>0.95635209058567006</v>
      </c>
      <c r="H255" s="1267"/>
      <c r="I255" s="1202"/>
      <c r="J255" s="1263"/>
      <c r="K255" s="1137"/>
      <c r="L255" s="1290"/>
      <c r="M255" s="1332"/>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row>
    <row r="256" spans="1:137" s="364" customFormat="1" ht="15">
      <c r="A256" s="1247"/>
      <c r="B256" s="1266"/>
      <c r="C256" s="1171" t="s">
        <v>10</v>
      </c>
      <c r="D256" s="1327">
        <v>0</v>
      </c>
      <c r="E256" s="1175">
        <v>0</v>
      </c>
      <c r="F256" s="1175">
        <v>0</v>
      </c>
      <c r="G256" s="1172">
        <v>0</v>
      </c>
      <c r="H256" s="1267"/>
      <c r="I256" s="1202"/>
      <c r="J256" s="1263"/>
      <c r="K256" s="1137"/>
      <c r="L256" s="1290"/>
      <c r="M256" s="1332"/>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row>
    <row r="257" spans="1:137" s="364" customFormat="1" ht="15">
      <c r="A257" s="1247"/>
      <c r="B257" s="1266"/>
      <c r="C257" s="1171" t="s">
        <v>11</v>
      </c>
      <c r="D257" s="1327">
        <v>0</v>
      </c>
      <c r="E257" s="1175">
        <v>0</v>
      </c>
      <c r="F257" s="1175">
        <v>0</v>
      </c>
      <c r="G257" s="1172">
        <v>0</v>
      </c>
      <c r="H257" s="1267"/>
      <c r="I257" s="1202"/>
      <c r="J257" s="1263"/>
      <c r="K257" s="1137"/>
      <c r="L257" s="1290"/>
      <c r="M257" s="1332"/>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6"/>
      <c r="DF257" s="36"/>
      <c r="DG257" s="36"/>
      <c r="DH257" s="36"/>
      <c r="DI257" s="36"/>
      <c r="DJ257" s="36"/>
      <c r="DK257" s="36"/>
      <c r="DL257" s="36"/>
      <c r="DM257" s="36"/>
      <c r="DN257" s="36"/>
      <c r="DO257" s="36"/>
      <c r="DP257" s="36"/>
      <c r="DQ257" s="36"/>
      <c r="DR257" s="36"/>
      <c r="DS257" s="36"/>
      <c r="DT257" s="36"/>
      <c r="DU257" s="36"/>
      <c r="DV257" s="36"/>
      <c r="DW257" s="36"/>
      <c r="DX257" s="36"/>
      <c r="DY257" s="36"/>
      <c r="DZ257" s="36"/>
      <c r="EA257" s="36"/>
      <c r="EB257" s="36"/>
      <c r="EC257" s="36"/>
      <c r="ED257" s="36"/>
      <c r="EE257" s="36"/>
      <c r="EF257" s="36"/>
      <c r="EG257" s="36"/>
    </row>
    <row r="258" spans="1:137" s="364" customFormat="1" ht="15">
      <c r="A258" s="1249"/>
      <c r="B258" s="1266"/>
      <c r="C258" s="1357" t="s">
        <v>12</v>
      </c>
      <c r="D258" s="1327">
        <v>0</v>
      </c>
      <c r="E258" s="1175">
        <v>0</v>
      </c>
      <c r="F258" s="1175">
        <v>0</v>
      </c>
      <c r="G258" s="1172">
        <v>0</v>
      </c>
      <c r="H258" s="1267"/>
      <c r="I258" s="1275"/>
      <c r="J258" s="1265"/>
      <c r="K258" s="1137"/>
      <c r="L258" s="1293"/>
      <c r="M258" s="1332"/>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6"/>
      <c r="DF258" s="36"/>
      <c r="DG258" s="36"/>
      <c r="DH258" s="36"/>
      <c r="DI258" s="36"/>
      <c r="DJ258" s="36"/>
      <c r="DK258" s="36"/>
      <c r="DL258" s="36"/>
      <c r="DM258" s="36"/>
      <c r="DN258" s="36"/>
      <c r="DO258" s="36"/>
      <c r="DP258" s="36"/>
      <c r="DQ258" s="36"/>
      <c r="DR258" s="36"/>
      <c r="DS258" s="36"/>
      <c r="DT258" s="36"/>
      <c r="DU258" s="36"/>
      <c r="DV258" s="36"/>
      <c r="DW258" s="36"/>
      <c r="DX258" s="36"/>
      <c r="DY258" s="36"/>
      <c r="DZ258" s="36"/>
      <c r="EA258" s="36"/>
      <c r="EB258" s="36"/>
      <c r="EC258" s="36"/>
      <c r="ED258" s="36"/>
      <c r="EE258" s="36"/>
      <c r="EF258" s="36"/>
      <c r="EG258" s="36"/>
    </row>
    <row r="259" spans="1:137" s="364" customFormat="1" ht="27.75" customHeight="1">
      <c r="A259" s="1244" t="s">
        <v>2944</v>
      </c>
      <c r="B259" s="1266" t="s">
        <v>2925</v>
      </c>
      <c r="C259" s="1171" t="s">
        <v>8</v>
      </c>
      <c r="D259" s="1314">
        <v>70000</v>
      </c>
      <c r="E259" s="1314">
        <f>E260+E262</f>
        <v>70000</v>
      </c>
      <c r="F259" s="1314">
        <f>F260+F262</f>
        <v>70000</v>
      </c>
      <c r="G259" s="1334">
        <f t="shared" si="32"/>
        <v>1</v>
      </c>
      <c r="H259" s="1231" t="s">
        <v>3171</v>
      </c>
      <c r="I259" s="1358" t="s">
        <v>3121</v>
      </c>
      <c r="J259" s="1260" t="s">
        <v>2955</v>
      </c>
      <c r="K259" s="1137" t="s">
        <v>169</v>
      </c>
      <c r="L259" s="1207"/>
      <c r="M259" s="1332">
        <v>807</v>
      </c>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row>
    <row r="260" spans="1:137" s="364" customFormat="1" ht="37.5" customHeight="1">
      <c r="A260" s="1247"/>
      <c r="B260" s="1266"/>
      <c r="C260" s="1171" t="s">
        <v>9</v>
      </c>
      <c r="D260" s="1314">
        <v>66500</v>
      </c>
      <c r="E260" s="1151">
        <v>66500</v>
      </c>
      <c r="F260" s="1151">
        <v>66500</v>
      </c>
      <c r="G260" s="1334">
        <f t="shared" si="32"/>
        <v>1</v>
      </c>
      <c r="H260" s="1235"/>
      <c r="I260" s="1359"/>
      <c r="J260" s="1263"/>
      <c r="K260" s="1137"/>
      <c r="L260" s="1234"/>
      <c r="M260" s="1332"/>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c r="DI260" s="36"/>
      <c r="DJ260" s="36"/>
      <c r="DK260" s="36"/>
      <c r="DL260" s="36"/>
      <c r="DM260" s="36"/>
      <c r="DN260" s="36"/>
      <c r="DO260" s="36"/>
      <c r="DP260" s="36"/>
      <c r="DQ260" s="36"/>
      <c r="DR260" s="36"/>
      <c r="DS260" s="36"/>
      <c r="DT260" s="36"/>
      <c r="DU260" s="36"/>
      <c r="DV260" s="36"/>
      <c r="DW260" s="36"/>
      <c r="DX260" s="36"/>
      <c r="DY260" s="36"/>
      <c r="DZ260" s="36"/>
      <c r="EA260" s="36"/>
      <c r="EB260" s="36"/>
      <c r="EC260" s="36"/>
      <c r="ED260" s="36"/>
      <c r="EE260" s="36"/>
      <c r="EF260" s="36"/>
      <c r="EG260" s="36"/>
    </row>
    <row r="261" spans="1:137" s="364" customFormat="1" ht="24.75" customHeight="1">
      <c r="A261" s="1247"/>
      <c r="B261" s="1266"/>
      <c r="C261" s="1171" t="s">
        <v>10</v>
      </c>
      <c r="D261" s="1314">
        <v>0</v>
      </c>
      <c r="E261" s="1151">
        <v>0</v>
      </c>
      <c r="F261" s="1151">
        <v>0</v>
      </c>
      <c r="G261" s="1334">
        <v>0</v>
      </c>
      <c r="H261" s="1235"/>
      <c r="I261" s="1359"/>
      <c r="J261" s="1263"/>
      <c r="K261" s="1137"/>
      <c r="L261" s="1234"/>
      <c r="M261" s="1332"/>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6"/>
      <c r="CU261" s="36"/>
      <c r="CV261" s="36"/>
      <c r="CW261" s="36"/>
      <c r="CX261" s="36"/>
      <c r="CY261" s="36"/>
      <c r="CZ261" s="36"/>
      <c r="DA261" s="36"/>
      <c r="DB261" s="36"/>
      <c r="DC261" s="36"/>
      <c r="DD261" s="36"/>
      <c r="DE261" s="36"/>
      <c r="DF261" s="36"/>
      <c r="DG261" s="36"/>
      <c r="DH261" s="36"/>
      <c r="DI261" s="36"/>
      <c r="DJ261" s="36"/>
      <c r="DK261" s="36"/>
      <c r="DL261" s="36"/>
      <c r="DM261" s="36"/>
      <c r="DN261" s="36"/>
      <c r="DO261" s="36"/>
      <c r="DP261" s="36"/>
      <c r="DQ261" s="36"/>
      <c r="DR261" s="36"/>
      <c r="DS261" s="36"/>
      <c r="DT261" s="36"/>
      <c r="DU261" s="36"/>
      <c r="DV261" s="36"/>
      <c r="DW261" s="36"/>
      <c r="DX261" s="36"/>
      <c r="DY261" s="36"/>
      <c r="DZ261" s="36"/>
      <c r="EA261" s="36"/>
      <c r="EB261" s="36"/>
      <c r="EC261" s="36"/>
      <c r="ED261" s="36"/>
      <c r="EE261" s="36"/>
      <c r="EF261" s="36"/>
      <c r="EG261" s="36"/>
    </row>
    <row r="262" spans="1:137" s="364" customFormat="1" ht="21.75" customHeight="1">
      <c r="A262" s="1247"/>
      <c r="B262" s="1266"/>
      <c r="C262" s="1171" t="s">
        <v>11</v>
      </c>
      <c r="D262" s="1314">
        <v>3500</v>
      </c>
      <c r="E262" s="1151">
        <v>3500</v>
      </c>
      <c r="F262" s="1151">
        <v>3500</v>
      </c>
      <c r="G262" s="1334">
        <f t="shared" si="32"/>
        <v>1</v>
      </c>
      <c r="H262" s="1235"/>
      <c r="I262" s="1359"/>
      <c r="J262" s="1263"/>
      <c r="K262" s="1137"/>
      <c r="L262" s="1234"/>
      <c r="M262" s="1332"/>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36"/>
      <c r="EE262" s="36"/>
      <c r="EF262" s="36"/>
      <c r="EG262" s="36"/>
    </row>
    <row r="263" spans="1:137" s="364" customFormat="1" ht="18.75" customHeight="1">
      <c r="A263" s="1249"/>
      <c r="B263" s="1266"/>
      <c r="C263" s="1360" t="s">
        <v>12</v>
      </c>
      <c r="D263" s="1314">
        <v>0</v>
      </c>
      <c r="E263" s="1151">
        <v>0</v>
      </c>
      <c r="F263" s="1151">
        <v>0</v>
      </c>
      <c r="G263" s="1334">
        <v>0</v>
      </c>
      <c r="H263" s="1242"/>
      <c r="I263" s="1361"/>
      <c r="J263" s="1265"/>
      <c r="K263" s="1137"/>
      <c r="L263" s="1237"/>
      <c r="M263" s="1332"/>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row>
    <row r="264" spans="1:137" s="364" customFormat="1" ht="15">
      <c r="A264" s="1244" t="s">
        <v>3122</v>
      </c>
      <c r="B264" s="1259" t="s">
        <v>2926</v>
      </c>
      <c r="C264" s="1171" t="s">
        <v>8</v>
      </c>
      <c r="D264" s="1327">
        <v>4400</v>
      </c>
      <c r="E264" s="1327">
        <v>0</v>
      </c>
      <c r="F264" s="1327">
        <v>0</v>
      </c>
      <c r="G264" s="1172">
        <f>F264/D264</f>
        <v>0</v>
      </c>
      <c r="H264" s="1231" t="s">
        <v>3172</v>
      </c>
      <c r="I264" s="1136" t="s">
        <v>3132</v>
      </c>
      <c r="J264" s="1260" t="s">
        <v>2845</v>
      </c>
      <c r="K264" s="1136" t="s">
        <v>2992</v>
      </c>
      <c r="L264" s="1136" t="s">
        <v>3140</v>
      </c>
      <c r="M264" s="115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36"/>
      <c r="EE264" s="36"/>
      <c r="EF264" s="36"/>
      <c r="EG264" s="36"/>
    </row>
    <row r="265" spans="1:137" s="364" customFormat="1" ht="15">
      <c r="A265" s="1247"/>
      <c r="B265" s="1261"/>
      <c r="C265" s="1171" t="s">
        <v>9</v>
      </c>
      <c r="D265" s="1362">
        <v>4400</v>
      </c>
      <c r="E265" s="1151">
        <v>0</v>
      </c>
      <c r="F265" s="1151">
        <v>0</v>
      </c>
      <c r="G265" s="1363">
        <f t="shared" ref="G265" si="33">F265/D265</f>
        <v>0</v>
      </c>
      <c r="H265" s="1235"/>
      <c r="I265" s="1141"/>
      <c r="J265" s="1263"/>
      <c r="K265" s="1141"/>
      <c r="L265" s="1141"/>
      <c r="M265" s="1159"/>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36"/>
      <c r="EE265" s="36"/>
      <c r="EF265" s="36"/>
      <c r="EG265" s="36"/>
    </row>
    <row r="266" spans="1:137" s="364" customFormat="1" ht="15">
      <c r="A266" s="1247"/>
      <c r="B266" s="1261"/>
      <c r="C266" s="1171" t="s">
        <v>10</v>
      </c>
      <c r="D266" s="1327">
        <v>0</v>
      </c>
      <c r="E266" s="1151">
        <v>0</v>
      </c>
      <c r="F266" s="1151">
        <v>0</v>
      </c>
      <c r="G266" s="1363">
        <v>0</v>
      </c>
      <c r="H266" s="1235"/>
      <c r="I266" s="1141"/>
      <c r="J266" s="1263"/>
      <c r="K266" s="1141"/>
      <c r="L266" s="1141"/>
      <c r="M266" s="1159"/>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row>
    <row r="267" spans="1:137" s="364" customFormat="1" ht="15">
      <c r="A267" s="1247"/>
      <c r="B267" s="1261"/>
      <c r="C267" s="1171" t="s">
        <v>11</v>
      </c>
      <c r="D267" s="1327">
        <v>0</v>
      </c>
      <c r="E267" s="1151">
        <v>0</v>
      </c>
      <c r="F267" s="1151">
        <v>0</v>
      </c>
      <c r="G267" s="1363">
        <v>0</v>
      </c>
      <c r="H267" s="1235"/>
      <c r="I267" s="1141"/>
      <c r="J267" s="1263"/>
      <c r="K267" s="1141"/>
      <c r="L267" s="1141"/>
      <c r="M267" s="1159"/>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36"/>
      <c r="EE267" s="36"/>
      <c r="EF267" s="36"/>
      <c r="EG267" s="36"/>
    </row>
    <row r="268" spans="1:137" s="364" customFormat="1" ht="15">
      <c r="A268" s="1249"/>
      <c r="B268" s="1264"/>
      <c r="C268" s="1357" t="s">
        <v>12</v>
      </c>
      <c r="D268" s="1327">
        <v>0</v>
      </c>
      <c r="E268" s="1151">
        <v>0</v>
      </c>
      <c r="F268" s="1151">
        <v>0</v>
      </c>
      <c r="G268" s="1363">
        <v>0</v>
      </c>
      <c r="H268" s="1242"/>
      <c r="I268" s="1147"/>
      <c r="J268" s="1265"/>
      <c r="K268" s="1147"/>
      <c r="L268" s="1147"/>
      <c r="M268" s="1165"/>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row>
    <row r="269" spans="1:137" s="364" customFormat="1" ht="15" customHeight="1">
      <c r="A269" s="1244" t="s">
        <v>2945</v>
      </c>
      <c r="B269" s="1266" t="s">
        <v>2927</v>
      </c>
      <c r="C269" s="1171" t="s">
        <v>8</v>
      </c>
      <c r="D269" s="1364">
        <v>65500</v>
      </c>
      <c r="E269" s="1365">
        <f>E270+E272</f>
        <v>65500</v>
      </c>
      <c r="F269" s="1365">
        <f>F270+F272</f>
        <v>65500</v>
      </c>
      <c r="G269" s="1172">
        <f t="shared" si="32"/>
        <v>1</v>
      </c>
      <c r="H269" s="1267" t="s">
        <v>3173</v>
      </c>
      <c r="I269" s="1358" t="s">
        <v>3121</v>
      </c>
      <c r="J269" s="1260" t="s">
        <v>2955</v>
      </c>
      <c r="K269" s="1137" t="s">
        <v>169</v>
      </c>
      <c r="L269" s="1207"/>
      <c r="M269" s="1332">
        <v>807</v>
      </c>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row>
    <row r="270" spans="1:137" s="364" customFormat="1" ht="15">
      <c r="A270" s="1247"/>
      <c r="B270" s="1266"/>
      <c r="C270" s="1171" t="s">
        <v>9</v>
      </c>
      <c r="D270" s="1364">
        <v>62225</v>
      </c>
      <c r="E270" s="1366">
        <v>62225</v>
      </c>
      <c r="F270" s="1366">
        <v>62225</v>
      </c>
      <c r="G270" s="1172">
        <f t="shared" si="32"/>
        <v>1</v>
      </c>
      <c r="H270" s="1267"/>
      <c r="I270" s="1359"/>
      <c r="J270" s="1263"/>
      <c r="K270" s="1137"/>
      <c r="L270" s="1234"/>
      <c r="M270" s="1332"/>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row>
    <row r="271" spans="1:137" s="364" customFormat="1" ht="15">
      <c r="A271" s="1247"/>
      <c r="B271" s="1266"/>
      <c r="C271" s="1171" t="s">
        <v>10</v>
      </c>
      <c r="D271" s="1364">
        <v>0</v>
      </c>
      <c r="E271" s="1366">
        <v>0</v>
      </c>
      <c r="F271" s="1366">
        <v>0</v>
      </c>
      <c r="G271" s="1172">
        <v>0</v>
      </c>
      <c r="H271" s="1267"/>
      <c r="I271" s="1359"/>
      <c r="J271" s="1263"/>
      <c r="K271" s="1137"/>
      <c r="L271" s="1234"/>
      <c r="M271" s="1332"/>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row>
    <row r="272" spans="1:137" s="364" customFormat="1" ht="15">
      <c r="A272" s="1247"/>
      <c r="B272" s="1266"/>
      <c r="C272" s="1171" t="s">
        <v>11</v>
      </c>
      <c r="D272" s="1364">
        <v>3275</v>
      </c>
      <c r="E272" s="1366">
        <v>3275</v>
      </c>
      <c r="F272" s="1366">
        <v>3275</v>
      </c>
      <c r="G272" s="1172">
        <v>0</v>
      </c>
      <c r="H272" s="1267"/>
      <c r="I272" s="1359"/>
      <c r="J272" s="1263"/>
      <c r="K272" s="1137"/>
      <c r="L272" s="1234"/>
      <c r="M272" s="1332"/>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row>
    <row r="273" spans="1:137" s="364" customFormat="1" ht="18" customHeight="1">
      <c r="A273" s="1249"/>
      <c r="B273" s="1266"/>
      <c r="C273" s="1357" t="s">
        <v>12</v>
      </c>
      <c r="D273" s="1364">
        <v>0</v>
      </c>
      <c r="E273" s="1366">
        <v>0</v>
      </c>
      <c r="F273" s="1366">
        <v>0</v>
      </c>
      <c r="G273" s="1172">
        <v>0</v>
      </c>
      <c r="H273" s="1267"/>
      <c r="I273" s="1361"/>
      <c r="J273" s="1265"/>
      <c r="K273" s="1137"/>
      <c r="L273" s="1237"/>
      <c r="M273" s="1332"/>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row>
    <row r="274" spans="1:137" s="364" customFormat="1" ht="15" customHeight="1">
      <c r="A274" s="1244" t="s">
        <v>2946</v>
      </c>
      <c r="B274" s="1266" t="s">
        <v>2928</v>
      </c>
      <c r="C274" s="1171" t="s">
        <v>8</v>
      </c>
      <c r="D274" s="1327">
        <f>SUM(D275:D278)</f>
        <v>3010.9</v>
      </c>
      <c r="E274" s="1151">
        <v>0</v>
      </c>
      <c r="F274" s="1151">
        <v>0</v>
      </c>
      <c r="G274" s="1172">
        <f>F274/D274</f>
        <v>0</v>
      </c>
      <c r="H274" s="1267" t="s">
        <v>3174</v>
      </c>
      <c r="I274" s="1339" t="s">
        <v>3123</v>
      </c>
      <c r="J274" s="1260" t="s">
        <v>2845</v>
      </c>
      <c r="K274" s="1137" t="s">
        <v>169</v>
      </c>
      <c r="L274" s="1316" t="s">
        <v>3124</v>
      </c>
      <c r="M274" s="1332">
        <v>807</v>
      </c>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row>
    <row r="275" spans="1:137" s="364" customFormat="1" ht="15">
      <c r="A275" s="1247"/>
      <c r="B275" s="1266"/>
      <c r="C275" s="1171" t="s">
        <v>9</v>
      </c>
      <c r="D275" s="1327">
        <v>2980.8</v>
      </c>
      <c r="E275" s="1175">
        <v>0</v>
      </c>
      <c r="F275" s="1175">
        <v>0</v>
      </c>
      <c r="G275" s="1172">
        <f t="shared" ref="G275:G277" si="34">F275/D275</f>
        <v>0</v>
      </c>
      <c r="H275" s="1267"/>
      <c r="I275" s="1339"/>
      <c r="J275" s="1263"/>
      <c r="K275" s="1137"/>
      <c r="L275" s="1335"/>
      <c r="M275" s="1332"/>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c r="ED275" s="36"/>
      <c r="EE275" s="36"/>
      <c r="EF275" s="36"/>
      <c r="EG275" s="36"/>
    </row>
    <row r="276" spans="1:137" s="364" customFormat="1" ht="15">
      <c r="A276" s="1247"/>
      <c r="B276" s="1266"/>
      <c r="C276" s="1171" t="s">
        <v>10</v>
      </c>
      <c r="D276" s="1327">
        <v>0</v>
      </c>
      <c r="E276" s="1175">
        <v>0</v>
      </c>
      <c r="F276" s="1175">
        <v>0</v>
      </c>
      <c r="G276" s="1172">
        <v>0</v>
      </c>
      <c r="H276" s="1267"/>
      <c r="I276" s="1339"/>
      <c r="J276" s="1263"/>
      <c r="K276" s="1137"/>
      <c r="L276" s="1335"/>
      <c r="M276" s="1332"/>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36"/>
      <c r="EF276" s="36"/>
      <c r="EG276" s="36"/>
    </row>
    <row r="277" spans="1:137" s="364" customFormat="1" ht="15">
      <c r="A277" s="1247"/>
      <c r="B277" s="1266"/>
      <c r="C277" s="1171" t="s">
        <v>11</v>
      </c>
      <c r="D277" s="1327">
        <v>30.1</v>
      </c>
      <c r="E277" s="1175">
        <v>0</v>
      </c>
      <c r="F277" s="1175">
        <v>0</v>
      </c>
      <c r="G277" s="1172">
        <f t="shared" si="34"/>
        <v>0</v>
      </c>
      <c r="H277" s="1267"/>
      <c r="I277" s="1339"/>
      <c r="J277" s="1263"/>
      <c r="K277" s="1137"/>
      <c r="L277" s="1335"/>
      <c r="M277" s="1332"/>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row>
    <row r="278" spans="1:137" s="364" customFormat="1" ht="15">
      <c r="A278" s="1249"/>
      <c r="B278" s="1266"/>
      <c r="C278" s="1357" t="s">
        <v>12</v>
      </c>
      <c r="D278" s="1327">
        <v>0</v>
      </c>
      <c r="E278" s="1175">
        <v>0</v>
      </c>
      <c r="F278" s="1175">
        <v>0</v>
      </c>
      <c r="G278" s="1172">
        <v>0</v>
      </c>
      <c r="H278" s="1267"/>
      <c r="I278" s="1339"/>
      <c r="J278" s="1265"/>
      <c r="K278" s="1137"/>
      <c r="L278" s="1338"/>
      <c r="M278" s="1332"/>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row>
    <row r="279" spans="1:137" s="364" customFormat="1" ht="15">
      <c r="A279" s="1244" t="s">
        <v>2947</v>
      </c>
      <c r="B279" s="1259" t="s">
        <v>2929</v>
      </c>
      <c r="C279" s="1171" t="s">
        <v>8</v>
      </c>
      <c r="D279" s="1364">
        <v>9956.0999999999985</v>
      </c>
      <c r="E279" s="1367">
        <f>SUM(E280:E283)</f>
        <v>9956.0999999999985</v>
      </c>
      <c r="F279" s="1367">
        <f>SUM(F280:F283)</f>
        <v>9956.0999999999985</v>
      </c>
      <c r="G279" s="1368">
        <f t="shared" ref="G279:G282" si="35">F279/D279</f>
        <v>1</v>
      </c>
      <c r="H279" s="1185" t="s">
        <v>3175</v>
      </c>
      <c r="I279" s="1358" t="s">
        <v>3121</v>
      </c>
      <c r="J279" s="1260" t="s">
        <v>2955</v>
      </c>
      <c r="K279" s="1136" t="s">
        <v>169</v>
      </c>
      <c r="L279" s="1185"/>
      <c r="M279" s="1156">
        <v>807</v>
      </c>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row>
    <row r="280" spans="1:137" s="364" customFormat="1" ht="15">
      <c r="A280" s="1247"/>
      <c r="B280" s="1261"/>
      <c r="C280" s="1171" t="s">
        <v>9</v>
      </c>
      <c r="D280" s="1369">
        <v>9458.2999999999993</v>
      </c>
      <c r="E280" s="1367">
        <v>9458.2999999999993</v>
      </c>
      <c r="F280" s="1367">
        <v>9458.2999999999993</v>
      </c>
      <c r="G280" s="1368">
        <f t="shared" si="35"/>
        <v>1</v>
      </c>
      <c r="H280" s="1192"/>
      <c r="I280" s="1359"/>
      <c r="J280" s="1263"/>
      <c r="K280" s="1141"/>
      <c r="L280" s="1192"/>
      <c r="M280" s="1159"/>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row>
    <row r="281" spans="1:137" s="364" customFormat="1" ht="15">
      <c r="A281" s="1247"/>
      <c r="B281" s="1261"/>
      <c r="C281" s="1171" t="s">
        <v>10</v>
      </c>
      <c r="D281" s="1370">
        <v>0</v>
      </c>
      <c r="E281" s="1367">
        <v>0</v>
      </c>
      <c r="F281" s="1367">
        <v>0</v>
      </c>
      <c r="G281" s="1368">
        <v>0</v>
      </c>
      <c r="H281" s="1192"/>
      <c r="I281" s="1359"/>
      <c r="J281" s="1263"/>
      <c r="K281" s="1141"/>
      <c r="L281" s="1192"/>
      <c r="M281" s="1159"/>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row>
    <row r="282" spans="1:137" s="364" customFormat="1" ht="15">
      <c r="A282" s="1247"/>
      <c r="B282" s="1261"/>
      <c r="C282" s="1171" t="s">
        <v>11</v>
      </c>
      <c r="D282" s="1371">
        <v>497.8</v>
      </c>
      <c r="E282" s="1367">
        <v>497.8</v>
      </c>
      <c r="F282" s="1367">
        <v>497.8</v>
      </c>
      <c r="G282" s="1368">
        <f t="shared" si="35"/>
        <v>1</v>
      </c>
      <c r="H282" s="1192"/>
      <c r="I282" s="1359"/>
      <c r="J282" s="1263"/>
      <c r="K282" s="1141"/>
      <c r="L282" s="1192"/>
      <c r="M282" s="1159"/>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row>
    <row r="283" spans="1:137" s="364" customFormat="1" ht="15">
      <c r="A283" s="1249"/>
      <c r="B283" s="1264"/>
      <c r="C283" s="1357" t="s">
        <v>12</v>
      </c>
      <c r="D283" s="1371">
        <v>0</v>
      </c>
      <c r="E283" s="1367">
        <v>0</v>
      </c>
      <c r="F283" s="1367">
        <v>0</v>
      </c>
      <c r="G283" s="1368">
        <v>0</v>
      </c>
      <c r="H283" s="1250"/>
      <c r="I283" s="1361"/>
      <c r="J283" s="1265"/>
      <c r="K283" s="1147"/>
      <c r="L283" s="1250"/>
      <c r="M283" s="1165"/>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6"/>
      <c r="DF283" s="36"/>
      <c r="DG283" s="36"/>
      <c r="DH283" s="36"/>
      <c r="DI283" s="36"/>
      <c r="DJ283" s="36"/>
      <c r="DK283" s="36"/>
      <c r="DL283" s="36"/>
      <c r="DM283" s="36"/>
      <c r="DN283" s="36"/>
      <c r="DO283" s="36"/>
      <c r="DP283" s="36"/>
      <c r="DQ283" s="36"/>
      <c r="DR283" s="36"/>
      <c r="DS283" s="36"/>
      <c r="DT283" s="36"/>
      <c r="DU283" s="36"/>
      <c r="DV283" s="36"/>
      <c r="DW283" s="36"/>
      <c r="DX283" s="36"/>
      <c r="DY283" s="36"/>
      <c r="DZ283" s="36"/>
      <c r="EA283" s="36"/>
      <c r="EB283" s="36"/>
      <c r="EC283" s="36"/>
      <c r="ED283" s="36"/>
      <c r="EE283" s="36"/>
      <c r="EF283" s="36"/>
      <c r="EG283" s="36"/>
    </row>
    <row r="284" spans="1:137" s="364" customFormat="1" ht="15">
      <c r="A284" s="1244" t="s">
        <v>605</v>
      </c>
      <c r="B284" s="1259" t="s">
        <v>2930</v>
      </c>
      <c r="C284" s="1171" t="s">
        <v>8</v>
      </c>
      <c r="D284" s="1364">
        <f>SUM(D285:D288)</f>
        <v>3320.7</v>
      </c>
      <c r="E284" s="1367">
        <f>E285+E287</f>
        <v>3320.6990499999997</v>
      </c>
      <c r="F284" s="1367">
        <f>F285+F287</f>
        <v>3320.6990499999997</v>
      </c>
      <c r="G284" s="1368">
        <f t="shared" ref="G284:G285" si="36">F284/D284</f>
        <v>0.99999971391574061</v>
      </c>
      <c r="H284" s="1259" t="s">
        <v>3181</v>
      </c>
      <c r="I284" s="1185" t="s">
        <v>3016</v>
      </c>
      <c r="J284" s="1260" t="s">
        <v>2955</v>
      </c>
      <c r="K284" s="1136" t="s">
        <v>169</v>
      </c>
      <c r="L284" s="767"/>
      <c r="M284" s="1156">
        <v>807</v>
      </c>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c r="ED284" s="36"/>
      <c r="EE284" s="36"/>
      <c r="EF284" s="36"/>
      <c r="EG284" s="36"/>
    </row>
    <row r="285" spans="1:137" s="364" customFormat="1" ht="15">
      <c r="A285" s="1247"/>
      <c r="B285" s="1261"/>
      <c r="C285" s="1171" t="s">
        <v>9</v>
      </c>
      <c r="D285" s="1369">
        <v>3154.7</v>
      </c>
      <c r="E285" s="1367">
        <v>3154.6990499999997</v>
      </c>
      <c r="F285" s="1367">
        <v>3154.6990499999997</v>
      </c>
      <c r="G285" s="1368">
        <f t="shared" si="36"/>
        <v>0.99999969886201534</v>
      </c>
      <c r="H285" s="1261"/>
      <c r="I285" s="1192"/>
      <c r="J285" s="1263"/>
      <c r="K285" s="1141"/>
      <c r="L285" s="767"/>
      <c r="M285" s="1159"/>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row>
    <row r="286" spans="1:137" s="364" customFormat="1" ht="15">
      <c r="A286" s="1247"/>
      <c r="B286" s="1261"/>
      <c r="C286" s="1171" t="s">
        <v>10</v>
      </c>
      <c r="D286" s="1370">
        <v>0</v>
      </c>
      <c r="E286" s="1367">
        <v>0</v>
      </c>
      <c r="F286" s="1367">
        <v>0</v>
      </c>
      <c r="G286" s="1368">
        <v>0</v>
      </c>
      <c r="H286" s="1261"/>
      <c r="I286" s="1192"/>
      <c r="J286" s="1263"/>
      <c r="K286" s="1141"/>
      <c r="L286" s="767"/>
      <c r="M286" s="1159"/>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row>
    <row r="287" spans="1:137" s="364" customFormat="1" ht="15">
      <c r="A287" s="1247"/>
      <c r="B287" s="1261"/>
      <c r="C287" s="1171" t="s">
        <v>11</v>
      </c>
      <c r="D287" s="1371">
        <v>166</v>
      </c>
      <c r="E287" s="1367">
        <v>166</v>
      </c>
      <c r="F287" s="1367">
        <v>166</v>
      </c>
      <c r="G287" s="1368">
        <f t="shared" ref="G287" si="37">F287/D287</f>
        <v>1</v>
      </c>
      <c r="H287" s="1261"/>
      <c r="I287" s="1192"/>
      <c r="J287" s="1263"/>
      <c r="K287" s="1141"/>
      <c r="L287" s="767"/>
      <c r="M287" s="1159"/>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row>
    <row r="288" spans="1:137" s="364" customFormat="1" ht="15">
      <c r="A288" s="1249"/>
      <c r="B288" s="1264"/>
      <c r="C288" s="1357" t="s">
        <v>12</v>
      </c>
      <c r="D288" s="1371">
        <v>0</v>
      </c>
      <c r="E288" s="1367">
        <v>0</v>
      </c>
      <c r="F288" s="1367">
        <v>0</v>
      </c>
      <c r="G288" s="1368">
        <v>0</v>
      </c>
      <c r="H288" s="1264"/>
      <c r="I288" s="1250"/>
      <c r="J288" s="1265"/>
      <c r="K288" s="1147"/>
      <c r="L288" s="767"/>
      <c r="M288" s="1165"/>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row>
    <row r="289" spans="1:137" s="364" customFormat="1" ht="15" customHeight="1">
      <c r="A289" s="1244" t="s">
        <v>608</v>
      </c>
      <c r="B289" s="1259" t="s">
        <v>2931</v>
      </c>
      <c r="C289" s="1171" t="s">
        <v>8</v>
      </c>
      <c r="D289" s="1364">
        <v>17129.400000000001</v>
      </c>
      <c r="E289" s="1367">
        <f>E290+E292</f>
        <v>16616.13</v>
      </c>
      <c r="F289" s="1367">
        <f>F290+F292</f>
        <v>16616.13</v>
      </c>
      <c r="G289" s="1368">
        <f t="shared" ref="G289:G290" si="38">F289/D289</f>
        <v>0.9700357280465165</v>
      </c>
      <c r="H289" s="1259" t="s">
        <v>2931</v>
      </c>
      <c r="I289" s="1185" t="s">
        <v>3016</v>
      </c>
      <c r="J289" s="1260" t="s">
        <v>2955</v>
      </c>
      <c r="K289" s="1136" t="s">
        <v>169</v>
      </c>
      <c r="L289" s="1356" t="s">
        <v>3192</v>
      </c>
      <c r="M289" s="1156">
        <v>807</v>
      </c>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c r="DR289" s="36"/>
      <c r="DS289" s="36"/>
      <c r="DT289" s="36"/>
      <c r="DU289" s="36"/>
      <c r="DV289" s="36"/>
      <c r="DW289" s="36"/>
      <c r="DX289" s="36"/>
      <c r="DY289" s="36"/>
      <c r="DZ289" s="36"/>
      <c r="EA289" s="36"/>
      <c r="EB289" s="36"/>
      <c r="EC289" s="36"/>
      <c r="ED289" s="36"/>
      <c r="EE289" s="36"/>
      <c r="EF289" s="36"/>
      <c r="EG289" s="36"/>
    </row>
    <row r="290" spans="1:137" s="364" customFormat="1" ht="15">
      <c r="A290" s="1247"/>
      <c r="B290" s="1261"/>
      <c r="C290" s="1171" t="s">
        <v>9</v>
      </c>
      <c r="D290" s="1369">
        <v>16272.9</v>
      </c>
      <c r="E290" s="1367">
        <v>15785.29</v>
      </c>
      <c r="F290" s="1367">
        <v>15785.29</v>
      </c>
      <c r="G290" s="1368">
        <f t="shared" si="38"/>
        <v>0.97003545772419186</v>
      </c>
      <c r="H290" s="1261"/>
      <c r="I290" s="1192"/>
      <c r="J290" s="1263"/>
      <c r="K290" s="1141"/>
      <c r="L290" s="1290"/>
      <c r="M290" s="1159"/>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c r="DR290" s="36"/>
      <c r="DS290" s="36"/>
      <c r="DT290" s="36"/>
      <c r="DU290" s="36"/>
      <c r="DV290" s="36"/>
      <c r="DW290" s="36"/>
      <c r="DX290" s="36"/>
      <c r="DY290" s="36"/>
      <c r="DZ290" s="36"/>
      <c r="EA290" s="36"/>
      <c r="EB290" s="36"/>
      <c r="EC290" s="36"/>
      <c r="ED290" s="36"/>
      <c r="EE290" s="36"/>
      <c r="EF290" s="36"/>
      <c r="EG290" s="36"/>
    </row>
    <row r="291" spans="1:137" s="364" customFormat="1" ht="15">
      <c r="A291" s="1247"/>
      <c r="B291" s="1261"/>
      <c r="C291" s="1171" t="s">
        <v>10</v>
      </c>
      <c r="D291" s="1370">
        <v>0</v>
      </c>
      <c r="E291" s="1367">
        <v>0</v>
      </c>
      <c r="F291" s="1367">
        <v>0</v>
      </c>
      <c r="G291" s="1368">
        <v>0</v>
      </c>
      <c r="H291" s="1261"/>
      <c r="I291" s="1192"/>
      <c r="J291" s="1263"/>
      <c r="K291" s="1141"/>
      <c r="L291" s="1290"/>
      <c r="M291" s="1159"/>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c r="DR291" s="36"/>
      <c r="DS291" s="36"/>
      <c r="DT291" s="36"/>
      <c r="DU291" s="36"/>
      <c r="DV291" s="36"/>
      <c r="DW291" s="36"/>
      <c r="DX291" s="36"/>
      <c r="DY291" s="36"/>
      <c r="DZ291" s="36"/>
      <c r="EA291" s="36"/>
      <c r="EB291" s="36"/>
      <c r="EC291" s="36"/>
      <c r="ED291" s="36"/>
      <c r="EE291" s="36"/>
      <c r="EF291" s="36"/>
      <c r="EG291" s="36"/>
    </row>
    <row r="292" spans="1:137" s="364" customFormat="1" ht="15">
      <c r="A292" s="1247"/>
      <c r="B292" s="1261"/>
      <c r="C292" s="1171" t="s">
        <v>11</v>
      </c>
      <c r="D292" s="1371">
        <v>856.5</v>
      </c>
      <c r="E292" s="1367">
        <v>830.84</v>
      </c>
      <c r="F292" s="1367">
        <v>830.84</v>
      </c>
      <c r="G292" s="1368">
        <f t="shared" ref="G292" si="39">F292/D292</f>
        <v>0.97004086398131939</v>
      </c>
      <c r="H292" s="1261"/>
      <c r="I292" s="1192"/>
      <c r="J292" s="1263"/>
      <c r="K292" s="1141"/>
      <c r="L292" s="1290"/>
      <c r="M292" s="1159"/>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row>
    <row r="293" spans="1:137" s="364" customFormat="1" ht="22.5" customHeight="1">
      <c r="A293" s="1249"/>
      <c r="B293" s="1264"/>
      <c r="C293" s="1357" t="s">
        <v>12</v>
      </c>
      <c r="D293" s="1371">
        <v>0</v>
      </c>
      <c r="E293" s="1367">
        <v>0</v>
      </c>
      <c r="F293" s="1367">
        <v>0</v>
      </c>
      <c r="G293" s="1368">
        <v>0</v>
      </c>
      <c r="H293" s="1264"/>
      <c r="I293" s="1250"/>
      <c r="J293" s="1265"/>
      <c r="K293" s="1147"/>
      <c r="L293" s="1293"/>
      <c r="M293" s="1165"/>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row>
    <row r="294" spans="1:137" s="364" customFormat="1" ht="35.25" customHeight="1">
      <c r="A294" s="1244" t="s">
        <v>611</v>
      </c>
      <c r="B294" s="1259" t="s">
        <v>2932</v>
      </c>
      <c r="C294" s="1171" t="s">
        <v>8</v>
      </c>
      <c r="D294" s="1364">
        <v>5286.9000000000005</v>
      </c>
      <c r="E294" s="1367">
        <f>E295+E297</f>
        <v>5286.9000000000005</v>
      </c>
      <c r="F294" s="1367">
        <f>F295+F297</f>
        <v>5286.9000000000005</v>
      </c>
      <c r="G294" s="1368">
        <f t="shared" ref="G294:G295" si="40">F294/D294</f>
        <v>1</v>
      </c>
      <c r="H294" s="1259" t="s">
        <v>2932</v>
      </c>
      <c r="I294" s="1185" t="s">
        <v>3016</v>
      </c>
      <c r="J294" s="1260" t="s">
        <v>2955</v>
      </c>
      <c r="K294" s="1136" t="s">
        <v>169</v>
      </c>
      <c r="L294" s="1356"/>
      <c r="M294" s="1156">
        <v>807</v>
      </c>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c r="EA294" s="36"/>
      <c r="EB294" s="36"/>
      <c r="EC294" s="36"/>
      <c r="ED294" s="36"/>
      <c r="EE294" s="36"/>
      <c r="EF294" s="36"/>
      <c r="EG294" s="36"/>
    </row>
    <row r="295" spans="1:137" s="364" customFormat="1" ht="30.75" customHeight="1">
      <c r="A295" s="1247"/>
      <c r="B295" s="1261"/>
      <c r="C295" s="1171" t="s">
        <v>9</v>
      </c>
      <c r="D295" s="1369">
        <v>5022.6000000000004</v>
      </c>
      <c r="E295" s="1369">
        <v>5022.6000000000004</v>
      </c>
      <c r="F295" s="1369">
        <v>5022.6000000000004</v>
      </c>
      <c r="G295" s="1368">
        <f t="shared" si="40"/>
        <v>1</v>
      </c>
      <c r="H295" s="1261"/>
      <c r="I295" s="1192"/>
      <c r="J295" s="1263"/>
      <c r="K295" s="1141"/>
      <c r="L295" s="1290"/>
      <c r="M295" s="1159"/>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c r="EA295" s="36"/>
      <c r="EB295" s="36"/>
      <c r="EC295" s="36"/>
      <c r="ED295" s="36"/>
      <c r="EE295" s="36"/>
      <c r="EF295" s="36"/>
      <c r="EG295" s="36"/>
    </row>
    <row r="296" spans="1:137" s="364" customFormat="1" ht="29.25" customHeight="1">
      <c r="A296" s="1247"/>
      <c r="B296" s="1261"/>
      <c r="C296" s="1171" t="s">
        <v>10</v>
      </c>
      <c r="D296" s="1370">
        <v>0</v>
      </c>
      <c r="E296" s="1372">
        <v>0</v>
      </c>
      <c r="F296" s="1372">
        <v>0</v>
      </c>
      <c r="G296" s="1373">
        <v>0</v>
      </c>
      <c r="H296" s="1261"/>
      <c r="I296" s="1192"/>
      <c r="J296" s="1263"/>
      <c r="K296" s="1141"/>
      <c r="L296" s="1290"/>
      <c r="M296" s="1159"/>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c r="EA296" s="36"/>
      <c r="EB296" s="36"/>
      <c r="EC296" s="36"/>
      <c r="ED296" s="36"/>
      <c r="EE296" s="36"/>
      <c r="EF296" s="36"/>
      <c r="EG296" s="36"/>
    </row>
    <row r="297" spans="1:137" s="364" customFormat="1" ht="29.25" customHeight="1">
      <c r="A297" s="1247"/>
      <c r="B297" s="1261"/>
      <c r="C297" s="1171" t="s">
        <v>11</v>
      </c>
      <c r="D297" s="1371">
        <v>264.3</v>
      </c>
      <c r="E297" s="1371">
        <v>264.3</v>
      </c>
      <c r="F297" s="1371">
        <v>264.3</v>
      </c>
      <c r="G297" s="1368">
        <f t="shared" ref="G297" si="41">F297/D297</f>
        <v>1</v>
      </c>
      <c r="H297" s="1261"/>
      <c r="I297" s="1192"/>
      <c r="J297" s="1263"/>
      <c r="K297" s="1141"/>
      <c r="L297" s="1290"/>
      <c r="M297" s="1159"/>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c r="EA297" s="36"/>
      <c r="EB297" s="36"/>
      <c r="EC297" s="36"/>
      <c r="ED297" s="36"/>
      <c r="EE297" s="36"/>
      <c r="EF297" s="36"/>
      <c r="EG297" s="36"/>
    </row>
    <row r="298" spans="1:137" s="364" customFormat="1" ht="27" customHeight="1">
      <c r="A298" s="1249"/>
      <c r="B298" s="1264"/>
      <c r="C298" s="1357" t="s">
        <v>12</v>
      </c>
      <c r="D298" s="1371">
        <v>0</v>
      </c>
      <c r="E298" s="1367">
        <v>0</v>
      </c>
      <c r="F298" s="1367">
        <v>0</v>
      </c>
      <c r="G298" s="1368">
        <v>0</v>
      </c>
      <c r="H298" s="1264"/>
      <c r="I298" s="1250"/>
      <c r="J298" s="1265"/>
      <c r="K298" s="1147"/>
      <c r="L298" s="1293"/>
      <c r="M298" s="1165"/>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c r="EA298" s="36"/>
      <c r="EB298" s="36"/>
      <c r="EC298" s="36"/>
      <c r="ED298" s="36"/>
      <c r="EE298" s="36"/>
      <c r="EF298" s="36"/>
      <c r="EG298" s="36"/>
    </row>
    <row r="299" spans="1:137" s="364" customFormat="1" ht="29.25" customHeight="1">
      <c r="A299" s="1244" t="s">
        <v>613</v>
      </c>
      <c r="B299" s="1259" t="s">
        <v>2933</v>
      </c>
      <c r="C299" s="1171" t="s">
        <v>8</v>
      </c>
      <c r="D299" s="1364">
        <f>SUM(D300:D303)</f>
        <v>2973.98</v>
      </c>
      <c r="E299" s="1367">
        <f>E300+E302</f>
        <v>2973.9789099999998</v>
      </c>
      <c r="F299" s="1367">
        <f>F300+F302</f>
        <v>2973.9789099999998</v>
      </c>
      <c r="G299" s="1368">
        <f t="shared" ref="G299:G300" si="42">F299/D299</f>
        <v>0.99999963348778398</v>
      </c>
      <c r="H299" s="1259" t="s">
        <v>2933</v>
      </c>
      <c r="I299" s="1185" t="s">
        <v>3125</v>
      </c>
      <c r="J299" s="1185" t="s">
        <v>2955</v>
      </c>
      <c r="K299" s="1136" t="s">
        <v>169</v>
      </c>
      <c r="L299" s="1185"/>
      <c r="M299" s="1156">
        <v>807</v>
      </c>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row>
    <row r="300" spans="1:137" s="364" customFormat="1" ht="25.5" customHeight="1">
      <c r="A300" s="1247"/>
      <c r="B300" s="1261"/>
      <c r="C300" s="1171" t="s">
        <v>9</v>
      </c>
      <c r="D300" s="1369">
        <v>2825.28</v>
      </c>
      <c r="E300" s="1367">
        <v>2825.2799599999998</v>
      </c>
      <c r="F300" s="1367">
        <v>2825.2799599999998</v>
      </c>
      <c r="G300" s="1368">
        <f t="shared" si="42"/>
        <v>0.99999998584211114</v>
      </c>
      <c r="H300" s="1261"/>
      <c r="I300" s="1192"/>
      <c r="J300" s="1192"/>
      <c r="K300" s="1141"/>
      <c r="L300" s="1192"/>
      <c r="M300" s="1159"/>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row>
    <row r="301" spans="1:137" s="364" customFormat="1" ht="30" customHeight="1">
      <c r="A301" s="1247"/>
      <c r="B301" s="1261"/>
      <c r="C301" s="1171" t="s">
        <v>10</v>
      </c>
      <c r="D301" s="1370">
        <v>0</v>
      </c>
      <c r="E301" s="1367">
        <v>0</v>
      </c>
      <c r="F301" s="1367">
        <v>0</v>
      </c>
      <c r="G301" s="1368">
        <v>0</v>
      </c>
      <c r="H301" s="1261"/>
      <c r="I301" s="1192"/>
      <c r="J301" s="1192"/>
      <c r="K301" s="1141"/>
      <c r="L301" s="1192"/>
      <c r="M301" s="1159"/>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row>
    <row r="302" spans="1:137" s="364" customFormat="1" ht="33" customHeight="1">
      <c r="A302" s="1247"/>
      <c r="B302" s="1261"/>
      <c r="C302" s="1171" t="s">
        <v>11</v>
      </c>
      <c r="D302" s="1371">
        <v>148.69999999999999</v>
      </c>
      <c r="E302" s="1367">
        <v>148.69895000000002</v>
      </c>
      <c r="F302" s="1367">
        <v>148.69895000000002</v>
      </c>
      <c r="G302" s="1368">
        <f t="shared" ref="G302" si="43">F302/D302</f>
        <v>0.99999293880295925</v>
      </c>
      <c r="H302" s="1261"/>
      <c r="I302" s="1192"/>
      <c r="J302" s="1192"/>
      <c r="K302" s="1141"/>
      <c r="L302" s="1192"/>
      <c r="M302" s="1159"/>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row>
    <row r="303" spans="1:137" s="364" customFormat="1" ht="45" customHeight="1">
      <c r="A303" s="1249"/>
      <c r="B303" s="1264"/>
      <c r="C303" s="1357" t="s">
        <v>12</v>
      </c>
      <c r="D303" s="1371">
        <v>0</v>
      </c>
      <c r="E303" s="1367">
        <v>0</v>
      </c>
      <c r="F303" s="1367">
        <v>0</v>
      </c>
      <c r="G303" s="1368">
        <v>0</v>
      </c>
      <c r="H303" s="1264"/>
      <c r="I303" s="1250"/>
      <c r="J303" s="1250"/>
      <c r="K303" s="1147"/>
      <c r="L303" s="1250"/>
      <c r="M303" s="1165"/>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row>
    <row r="304" spans="1:137" s="364" customFormat="1" ht="15" customHeight="1">
      <c r="A304" s="1244" t="s">
        <v>615</v>
      </c>
      <c r="B304" s="1259" t="s">
        <v>2934</v>
      </c>
      <c r="C304" s="1171" t="s">
        <v>8</v>
      </c>
      <c r="D304" s="1364">
        <f>SUM(D305:D308)</f>
        <v>16151.6</v>
      </c>
      <c r="E304" s="1367">
        <f>E305+E307</f>
        <v>16151.6</v>
      </c>
      <c r="F304" s="1367">
        <f>F305+F307</f>
        <v>16151.6</v>
      </c>
      <c r="G304" s="1368">
        <f t="shared" ref="G304:G305" si="44">F304/D304</f>
        <v>1</v>
      </c>
      <c r="H304" s="1259" t="s">
        <v>2934</v>
      </c>
      <c r="I304" s="1185" t="s">
        <v>3125</v>
      </c>
      <c r="J304" s="1260" t="s">
        <v>2955</v>
      </c>
      <c r="K304" s="1136" t="s">
        <v>169</v>
      </c>
      <c r="L304" s="1356"/>
      <c r="M304" s="1156">
        <v>807</v>
      </c>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row>
    <row r="305" spans="1:137" s="364" customFormat="1" ht="15">
      <c r="A305" s="1247"/>
      <c r="B305" s="1261"/>
      <c r="C305" s="1171" t="s">
        <v>9</v>
      </c>
      <c r="D305" s="1369">
        <v>15344</v>
      </c>
      <c r="E305" s="1367">
        <v>15344</v>
      </c>
      <c r="F305" s="1367">
        <v>15344</v>
      </c>
      <c r="G305" s="1368">
        <f t="shared" si="44"/>
        <v>1</v>
      </c>
      <c r="H305" s="1261"/>
      <c r="I305" s="1192"/>
      <c r="J305" s="1263"/>
      <c r="K305" s="1141"/>
      <c r="L305" s="1290"/>
      <c r="M305" s="1159"/>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row>
    <row r="306" spans="1:137" s="364" customFormat="1" ht="15">
      <c r="A306" s="1247"/>
      <c r="B306" s="1261"/>
      <c r="C306" s="1171" t="s">
        <v>10</v>
      </c>
      <c r="D306" s="1370">
        <v>0</v>
      </c>
      <c r="E306" s="1367">
        <v>0</v>
      </c>
      <c r="F306" s="1367">
        <v>0</v>
      </c>
      <c r="G306" s="1368">
        <v>0</v>
      </c>
      <c r="H306" s="1261"/>
      <c r="I306" s="1192"/>
      <c r="J306" s="1263"/>
      <c r="K306" s="1141"/>
      <c r="L306" s="1290"/>
      <c r="M306" s="1159"/>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row>
    <row r="307" spans="1:137" s="364" customFormat="1" ht="15">
      <c r="A307" s="1247"/>
      <c r="B307" s="1261"/>
      <c r="C307" s="1171" t="s">
        <v>11</v>
      </c>
      <c r="D307" s="1371">
        <v>807.6</v>
      </c>
      <c r="E307" s="1367">
        <v>807.6</v>
      </c>
      <c r="F307" s="1367">
        <v>807.6</v>
      </c>
      <c r="G307" s="1368">
        <f t="shared" ref="G307" si="45">F307/D307</f>
        <v>1</v>
      </c>
      <c r="H307" s="1261"/>
      <c r="I307" s="1192"/>
      <c r="J307" s="1263"/>
      <c r="K307" s="1141"/>
      <c r="L307" s="1290"/>
      <c r="M307" s="1159"/>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row>
    <row r="308" spans="1:137" s="364" customFormat="1" ht="15">
      <c r="A308" s="1249"/>
      <c r="B308" s="1264"/>
      <c r="C308" s="1357" t="s">
        <v>12</v>
      </c>
      <c r="D308" s="1371">
        <v>0</v>
      </c>
      <c r="E308" s="1367">
        <v>0</v>
      </c>
      <c r="F308" s="1367">
        <v>0</v>
      </c>
      <c r="G308" s="1368">
        <v>0</v>
      </c>
      <c r="H308" s="1264"/>
      <c r="I308" s="1250"/>
      <c r="J308" s="1265"/>
      <c r="K308" s="1147"/>
      <c r="L308" s="1293"/>
      <c r="M308" s="1165"/>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row>
    <row r="309" spans="1:137" s="364" customFormat="1" ht="15" customHeight="1">
      <c r="A309" s="1244" t="s">
        <v>617</v>
      </c>
      <c r="B309" s="1259" t="s">
        <v>2935</v>
      </c>
      <c r="C309" s="1171" t="s">
        <v>8</v>
      </c>
      <c r="D309" s="1364">
        <f>SUM(D310:D313)</f>
        <v>11287.5</v>
      </c>
      <c r="E309" s="1367">
        <f>E310</f>
        <v>5561.18</v>
      </c>
      <c r="F309" s="1367">
        <f>F310</f>
        <v>4926.6000000000004</v>
      </c>
      <c r="G309" s="1368">
        <f t="shared" ref="G309:G310" si="46">F309/D309</f>
        <v>0.43646511627906981</v>
      </c>
      <c r="H309" s="1185" t="s">
        <v>3180</v>
      </c>
      <c r="I309" s="1185" t="s">
        <v>3126</v>
      </c>
      <c r="J309" s="1185" t="s">
        <v>2844</v>
      </c>
      <c r="K309" s="1136" t="s">
        <v>169</v>
      </c>
      <c r="L309" s="1356" t="s">
        <v>3127</v>
      </c>
      <c r="M309" s="1156">
        <v>807</v>
      </c>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row>
    <row r="310" spans="1:137" s="364" customFormat="1" ht="15">
      <c r="A310" s="1247"/>
      <c r="B310" s="1261"/>
      <c r="C310" s="1171" t="s">
        <v>9</v>
      </c>
      <c r="D310" s="1369">
        <v>11287.5</v>
      </c>
      <c r="E310" s="1367">
        <v>5561.18</v>
      </c>
      <c r="F310" s="1367">
        <v>4926.6000000000004</v>
      </c>
      <c r="G310" s="1368">
        <f t="shared" si="46"/>
        <v>0.43646511627906981</v>
      </c>
      <c r="H310" s="1192"/>
      <c r="I310" s="1192"/>
      <c r="J310" s="1192"/>
      <c r="K310" s="1141"/>
      <c r="L310" s="1290"/>
      <c r="M310" s="1159"/>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row>
    <row r="311" spans="1:137" s="364" customFormat="1" ht="15">
      <c r="A311" s="1247"/>
      <c r="B311" s="1261"/>
      <c r="C311" s="1171" t="s">
        <v>10</v>
      </c>
      <c r="D311" s="1370">
        <v>0</v>
      </c>
      <c r="E311" s="1367">
        <v>0</v>
      </c>
      <c r="F311" s="1367">
        <v>0</v>
      </c>
      <c r="G311" s="1368">
        <v>0</v>
      </c>
      <c r="H311" s="1192"/>
      <c r="I311" s="1192"/>
      <c r="J311" s="1192"/>
      <c r="K311" s="1141"/>
      <c r="L311" s="1290"/>
      <c r="M311" s="1159"/>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row>
    <row r="312" spans="1:137" s="364" customFormat="1" ht="15">
      <c r="A312" s="1247"/>
      <c r="B312" s="1261"/>
      <c r="C312" s="1171" t="s">
        <v>11</v>
      </c>
      <c r="D312" s="1371">
        <v>0</v>
      </c>
      <c r="E312" s="1367">
        <v>0</v>
      </c>
      <c r="F312" s="1367">
        <v>0</v>
      </c>
      <c r="G312" s="1368">
        <v>0</v>
      </c>
      <c r="H312" s="1192"/>
      <c r="I312" s="1192"/>
      <c r="J312" s="1192"/>
      <c r="K312" s="1141"/>
      <c r="L312" s="1290"/>
      <c r="M312" s="1159"/>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row>
    <row r="313" spans="1:137" s="364" customFormat="1" ht="15">
      <c r="A313" s="1249"/>
      <c r="B313" s="1264"/>
      <c r="C313" s="1357" t="s">
        <v>12</v>
      </c>
      <c r="D313" s="1374">
        <v>0</v>
      </c>
      <c r="E313" s="1166">
        <v>0</v>
      </c>
      <c r="F313" s="1166">
        <v>0</v>
      </c>
      <c r="G313" s="1334">
        <v>0</v>
      </c>
      <c r="H313" s="1250"/>
      <c r="I313" s="1250"/>
      <c r="J313" s="1250"/>
      <c r="K313" s="1147"/>
      <c r="L313" s="1293"/>
      <c r="M313" s="1165"/>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row>
    <row r="314" spans="1:137" s="364" customFormat="1" ht="27" customHeight="1">
      <c r="A314" s="1244" t="s">
        <v>2952</v>
      </c>
      <c r="B314" s="1259" t="s">
        <v>2936</v>
      </c>
      <c r="C314" s="1171" t="s">
        <v>8</v>
      </c>
      <c r="D314" s="1364">
        <v>2900</v>
      </c>
      <c r="E314" s="1367">
        <v>2890</v>
      </c>
      <c r="F314" s="1367">
        <v>2890</v>
      </c>
      <c r="G314" s="1368">
        <f t="shared" ref="G314:G315" si="47">F314/D314</f>
        <v>0.99655172413793103</v>
      </c>
      <c r="H314" s="1231" t="s">
        <v>2936</v>
      </c>
      <c r="I314" s="1339" t="s">
        <v>2983</v>
      </c>
      <c r="J314" s="1260" t="s">
        <v>2955</v>
      </c>
      <c r="K314" s="1231" t="s">
        <v>2982</v>
      </c>
      <c r="L314" s="1339" t="s">
        <v>3185</v>
      </c>
      <c r="M314" s="1375">
        <v>823</v>
      </c>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row>
    <row r="315" spans="1:137" s="364" customFormat="1" ht="22.5" customHeight="1">
      <c r="A315" s="1247"/>
      <c r="B315" s="1261"/>
      <c r="C315" s="1171" t="s">
        <v>9</v>
      </c>
      <c r="D315" s="1369">
        <v>2900</v>
      </c>
      <c r="E315" s="1367">
        <v>2890</v>
      </c>
      <c r="F315" s="1367">
        <v>2890</v>
      </c>
      <c r="G315" s="1368">
        <f t="shared" si="47"/>
        <v>0.99655172413793103</v>
      </c>
      <c r="H315" s="1235"/>
      <c r="I315" s="1339"/>
      <c r="J315" s="1263"/>
      <c r="K315" s="1235"/>
      <c r="L315" s="1339"/>
      <c r="M315" s="137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row>
    <row r="316" spans="1:137" s="364" customFormat="1" ht="22.5" customHeight="1">
      <c r="A316" s="1247"/>
      <c r="B316" s="1261"/>
      <c r="C316" s="1171" t="s">
        <v>10</v>
      </c>
      <c r="D316" s="1370">
        <v>0</v>
      </c>
      <c r="E316" s="1367">
        <v>0</v>
      </c>
      <c r="F316" s="1367">
        <v>0</v>
      </c>
      <c r="G316" s="1368">
        <v>0</v>
      </c>
      <c r="H316" s="1235"/>
      <c r="I316" s="1339"/>
      <c r="J316" s="1263"/>
      <c r="K316" s="1235"/>
      <c r="L316" s="1339"/>
      <c r="M316" s="137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row>
    <row r="317" spans="1:137" s="364" customFormat="1" ht="20.25" customHeight="1">
      <c r="A317" s="1247"/>
      <c r="B317" s="1261"/>
      <c r="C317" s="1171" t="s">
        <v>11</v>
      </c>
      <c r="D317" s="1371">
        <v>0</v>
      </c>
      <c r="E317" s="1367">
        <v>0</v>
      </c>
      <c r="F317" s="1367">
        <v>0</v>
      </c>
      <c r="G317" s="1368">
        <v>0</v>
      </c>
      <c r="H317" s="1235"/>
      <c r="I317" s="1339"/>
      <c r="J317" s="1263"/>
      <c r="K317" s="1235"/>
      <c r="L317" s="1339"/>
      <c r="M317" s="137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row>
    <row r="318" spans="1:137" s="364" customFormat="1" ht="35.25" customHeight="1">
      <c r="A318" s="1249"/>
      <c r="B318" s="1264"/>
      <c r="C318" s="1357" t="s">
        <v>12</v>
      </c>
      <c r="D318" s="1371">
        <v>0</v>
      </c>
      <c r="E318" s="1367">
        <v>0</v>
      </c>
      <c r="F318" s="1367">
        <v>0</v>
      </c>
      <c r="G318" s="1368">
        <v>0</v>
      </c>
      <c r="H318" s="1242"/>
      <c r="I318" s="1339"/>
      <c r="J318" s="1265"/>
      <c r="K318" s="1242"/>
      <c r="L318" s="1339"/>
      <c r="M318" s="1377"/>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row>
    <row r="319" spans="1:137" s="364" customFormat="1" ht="35.25" customHeight="1">
      <c r="A319" s="1244" t="s">
        <v>3152</v>
      </c>
      <c r="B319" s="1259" t="s">
        <v>3150</v>
      </c>
      <c r="C319" s="1171" t="s">
        <v>8</v>
      </c>
      <c r="D319" s="1371">
        <f>SUM(D320:D323)</f>
        <v>964.09999999999991</v>
      </c>
      <c r="E319" s="1371">
        <f t="shared" ref="E319:F319" si="48">SUM(E320:E323)</f>
        <v>964.09999999999991</v>
      </c>
      <c r="F319" s="1371">
        <f t="shared" si="48"/>
        <v>964.09999999999991</v>
      </c>
      <c r="G319" s="1368">
        <f t="shared" ref="G319:G328" si="49">F319/D319</f>
        <v>1</v>
      </c>
      <c r="H319" s="1259" t="s">
        <v>3182</v>
      </c>
      <c r="I319" s="1339" t="s">
        <v>3155</v>
      </c>
      <c r="J319" s="1260" t="s">
        <v>2955</v>
      </c>
      <c r="K319" s="1267" t="s">
        <v>3154</v>
      </c>
      <c r="L319" s="1339"/>
      <c r="M319" s="1378"/>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row>
    <row r="320" spans="1:137" s="364" customFormat="1" ht="35.25" customHeight="1">
      <c r="A320" s="1247"/>
      <c r="B320" s="1261"/>
      <c r="C320" s="1171" t="s">
        <v>9</v>
      </c>
      <c r="D320" s="1371">
        <v>808.9</v>
      </c>
      <c r="E320" s="1367">
        <v>808.9</v>
      </c>
      <c r="F320" s="1367">
        <v>808.9</v>
      </c>
      <c r="G320" s="1368">
        <f t="shared" si="49"/>
        <v>1</v>
      </c>
      <c r="H320" s="1261"/>
      <c r="I320" s="1339"/>
      <c r="J320" s="1263"/>
      <c r="K320" s="1267"/>
      <c r="L320" s="1339"/>
      <c r="M320" s="1378"/>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row>
    <row r="321" spans="1:137" s="364" customFormat="1" ht="35.25" customHeight="1">
      <c r="A321" s="1247"/>
      <c r="B321" s="1261"/>
      <c r="C321" s="1171" t="s">
        <v>10</v>
      </c>
      <c r="D321" s="1371">
        <v>0</v>
      </c>
      <c r="E321" s="1371">
        <v>0</v>
      </c>
      <c r="F321" s="1371">
        <v>0</v>
      </c>
      <c r="G321" s="1368">
        <v>0</v>
      </c>
      <c r="H321" s="1261"/>
      <c r="I321" s="1339"/>
      <c r="J321" s="1263"/>
      <c r="K321" s="1267"/>
      <c r="L321" s="1339"/>
      <c r="M321" s="1378"/>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row>
    <row r="322" spans="1:137" s="364" customFormat="1" ht="35.25" customHeight="1">
      <c r="A322" s="1247"/>
      <c r="B322" s="1261"/>
      <c r="C322" s="1171" t="s">
        <v>11</v>
      </c>
      <c r="D322" s="1371">
        <v>155.19999999999999</v>
      </c>
      <c r="E322" s="1371">
        <v>155.19999999999999</v>
      </c>
      <c r="F322" s="1371">
        <v>155.19999999999999</v>
      </c>
      <c r="G322" s="1368">
        <f t="shared" si="49"/>
        <v>1</v>
      </c>
      <c r="H322" s="1261"/>
      <c r="I322" s="1339"/>
      <c r="J322" s="1263"/>
      <c r="K322" s="1267"/>
      <c r="L322" s="1339"/>
      <c r="M322" s="1378"/>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row>
    <row r="323" spans="1:137" s="364" customFormat="1" ht="35.25" customHeight="1">
      <c r="A323" s="1249"/>
      <c r="B323" s="1264"/>
      <c r="C323" s="1357" t="s">
        <v>12</v>
      </c>
      <c r="D323" s="1371">
        <v>0</v>
      </c>
      <c r="E323" s="1371">
        <v>0</v>
      </c>
      <c r="F323" s="1371">
        <v>0</v>
      </c>
      <c r="G323" s="1368">
        <v>0</v>
      </c>
      <c r="H323" s="1264"/>
      <c r="I323" s="1339"/>
      <c r="J323" s="1265"/>
      <c r="K323" s="1267"/>
      <c r="L323" s="1339"/>
      <c r="M323" s="1378"/>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row>
    <row r="324" spans="1:137" s="364" customFormat="1" ht="21.75" customHeight="1">
      <c r="A324" s="1379" t="s">
        <v>3153</v>
      </c>
      <c r="B324" s="1266" t="s">
        <v>3151</v>
      </c>
      <c r="C324" s="1171" t="s">
        <v>8</v>
      </c>
      <c r="D324" s="1371">
        <f>SUM(D325:D328)</f>
        <v>5088.3</v>
      </c>
      <c r="E324" s="1371">
        <f t="shared" ref="E324:F324" si="50">SUM(E325:E328)</f>
        <v>5088.3</v>
      </c>
      <c r="F324" s="1371">
        <f t="shared" si="50"/>
        <v>5088.3</v>
      </c>
      <c r="G324" s="1368">
        <f t="shared" si="49"/>
        <v>1</v>
      </c>
      <c r="H324" s="1266" t="s">
        <v>3183</v>
      </c>
      <c r="I324" s="1339" t="s">
        <v>3156</v>
      </c>
      <c r="J324" s="1260" t="s">
        <v>2955</v>
      </c>
      <c r="K324" s="1267" t="s">
        <v>3154</v>
      </c>
      <c r="L324" s="1339"/>
      <c r="M324" s="1375"/>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row>
    <row r="325" spans="1:137" s="364" customFormat="1" ht="18" customHeight="1">
      <c r="A325" s="1379"/>
      <c r="B325" s="1266"/>
      <c r="C325" s="1171" t="s">
        <v>9</v>
      </c>
      <c r="D325" s="1371">
        <v>4269.1000000000004</v>
      </c>
      <c r="E325" s="1371">
        <v>4269.1000000000004</v>
      </c>
      <c r="F325" s="1371">
        <v>4269.1000000000004</v>
      </c>
      <c r="G325" s="1368">
        <f t="shared" si="49"/>
        <v>1</v>
      </c>
      <c r="H325" s="1266"/>
      <c r="I325" s="1339"/>
      <c r="J325" s="1263"/>
      <c r="K325" s="1267"/>
      <c r="L325" s="1339"/>
      <c r="M325" s="137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row>
    <row r="326" spans="1:137" s="364" customFormat="1" ht="15.75" customHeight="1">
      <c r="A326" s="1379"/>
      <c r="B326" s="1266"/>
      <c r="C326" s="1171" t="s">
        <v>10</v>
      </c>
      <c r="D326" s="1371">
        <v>0</v>
      </c>
      <c r="E326" s="1371">
        <v>0</v>
      </c>
      <c r="F326" s="1371">
        <v>0</v>
      </c>
      <c r="G326" s="1368" t="e">
        <f t="shared" si="49"/>
        <v>#DIV/0!</v>
      </c>
      <c r="H326" s="1266"/>
      <c r="I326" s="1339"/>
      <c r="J326" s="1263"/>
      <c r="K326" s="1267"/>
      <c r="L326" s="1339"/>
      <c r="M326" s="137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row>
    <row r="327" spans="1:137" s="364" customFormat="1" ht="15.75" customHeight="1">
      <c r="A327" s="1379"/>
      <c r="B327" s="1266"/>
      <c r="C327" s="1171" t="s">
        <v>11</v>
      </c>
      <c r="D327" s="1371">
        <v>819.2</v>
      </c>
      <c r="E327" s="1371">
        <v>819.2</v>
      </c>
      <c r="F327" s="1371">
        <v>819.2</v>
      </c>
      <c r="G327" s="1368">
        <f t="shared" si="49"/>
        <v>1</v>
      </c>
      <c r="H327" s="1266"/>
      <c r="I327" s="1339"/>
      <c r="J327" s="1263"/>
      <c r="K327" s="1267"/>
      <c r="L327" s="1339"/>
      <c r="M327" s="137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row>
    <row r="328" spans="1:137" s="364" customFormat="1" ht="16.5" customHeight="1">
      <c r="A328" s="1379"/>
      <c r="B328" s="1266"/>
      <c r="C328" s="1357" t="s">
        <v>12</v>
      </c>
      <c r="D328" s="1371">
        <v>0</v>
      </c>
      <c r="E328" s="1371">
        <v>0</v>
      </c>
      <c r="F328" s="1371">
        <v>0</v>
      </c>
      <c r="G328" s="1368" t="e">
        <f t="shared" si="49"/>
        <v>#DIV/0!</v>
      </c>
      <c r="H328" s="1266"/>
      <c r="I328" s="1339"/>
      <c r="J328" s="1265"/>
      <c r="K328" s="1267"/>
      <c r="L328" s="1339"/>
      <c r="M328" s="137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row>
    <row r="329" spans="1:137" s="364" customFormat="1" ht="15.75" customHeight="1">
      <c r="A329" s="1135" t="s">
        <v>3128</v>
      </c>
      <c r="B329" s="1259" t="s">
        <v>3129</v>
      </c>
      <c r="C329" s="1171" t="s">
        <v>8</v>
      </c>
      <c r="D329" s="1371">
        <f>SUM(D330:D333)</f>
        <v>35550</v>
      </c>
      <c r="E329" s="1367">
        <f>SUM(E330:E333)</f>
        <v>35550</v>
      </c>
      <c r="F329" s="1367">
        <f>SUM(F330:F333)</f>
        <v>35550</v>
      </c>
      <c r="G329" s="1368">
        <f t="shared" ref="G329:G338" si="51">F329/D329</f>
        <v>1</v>
      </c>
      <c r="H329" s="1259" t="s">
        <v>3129</v>
      </c>
      <c r="I329" s="1185" t="s">
        <v>3016</v>
      </c>
      <c r="J329" s="1260" t="s">
        <v>2955</v>
      </c>
      <c r="K329" s="1136" t="str">
        <f>'[7]Пр ГП 19-20'!$K$167</f>
        <v>Министерство строительства МО, администрации муниципальных образований</v>
      </c>
      <c r="L329" s="1199"/>
      <c r="M329" s="1380"/>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row>
    <row r="330" spans="1:137" s="364" customFormat="1" ht="15.75" customHeight="1">
      <c r="A330" s="1140"/>
      <c r="B330" s="1261"/>
      <c r="C330" s="1171" t="s">
        <v>9</v>
      </c>
      <c r="D330" s="1371">
        <v>33772.5</v>
      </c>
      <c r="E330" s="1367">
        <v>33772.5</v>
      </c>
      <c r="F330" s="1367">
        <v>33772.5</v>
      </c>
      <c r="G330" s="1368">
        <f t="shared" si="51"/>
        <v>1</v>
      </c>
      <c r="H330" s="1261"/>
      <c r="I330" s="1192"/>
      <c r="J330" s="1263"/>
      <c r="K330" s="1141"/>
      <c r="L330" s="1202"/>
      <c r="M330" s="1380"/>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row>
    <row r="331" spans="1:137" s="364" customFormat="1" ht="15.75" customHeight="1">
      <c r="A331" s="1140"/>
      <c r="B331" s="1261"/>
      <c r="C331" s="1171" t="s">
        <v>10</v>
      </c>
      <c r="D331" s="1371">
        <v>0</v>
      </c>
      <c r="E331" s="1367">
        <v>0</v>
      </c>
      <c r="F331" s="1367">
        <v>0</v>
      </c>
      <c r="G331" s="1368" t="e">
        <f t="shared" si="51"/>
        <v>#DIV/0!</v>
      </c>
      <c r="H331" s="1261"/>
      <c r="I331" s="1192"/>
      <c r="J331" s="1263"/>
      <c r="K331" s="1141"/>
      <c r="L331" s="1202"/>
      <c r="M331" s="1380"/>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row>
    <row r="332" spans="1:137" s="364" customFormat="1" ht="15.75" customHeight="1">
      <c r="A332" s="1140"/>
      <c r="B332" s="1261"/>
      <c r="C332" s="1171" t="s">
        <v>11</v>
      </c>
      <c r="D332" s="1371">
        <v>1777.5</v>
      </c>
      <c r="E332" s="1367">
        <v>1777.5</v>
      </c>
      <c r="F332" s="1367">
        <v>1777.5</v>
      </c>
      <c r="G332" s="1368">
        <f t="shared" si="51"/>
        <v>1</v>
      </c>
      <c r="H332" s="1261"/>
      <c r="I332" s="1192"/>
      <c r="J332" s="1263"/>
      <c r="K332" s="1141"/>
      <c r="L332" s="1202"/>
      <c r="M332" s="1380"/>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row>
    <row r="333" spans="1:137" s="364" customFormat="1" ht="15.75" customHeight="1">
      <c r="A333" s="1140"/>
      <c r="B333" s="1264"/>
      <c r="C333" s="1357" t="s">
        <v>12</v>
      </c>
      <c r="D333" s="1371">
        <v>0</v>
      </c>
      <c r="E333" s="1367">
        <v>0</v>
      </c>
      <c r="F333" s="1367">
        <v>0</v>
      </c>
      <c r="G333" s="1368" t="e">
        <f t="shared" si="51"/>
        <v>#DIV/0!</v>
      </c>
      <c r="H333" s="1264"/>
      <c r="I333" s="1250"/>
      <c r="J333" s="1265"/>
      <c r="K333" s="1147"/>
      <c r="L333" s="1275"/>
      <c r="M333" s="1380"/>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row>
    <row r="334" spans="1:137" s="364" customFormat="1" ht="15.75" customHeight="1">
      <c r="A334" s="1135" t="s">
        <v>3130</v>
      </c>
      <c r="B334" s="1259" t="s">
        <v>3131</v>
      </c>
      <c r="C334" s="1171" t="s">
        <v>8</v>
      </c>
      <c r="D334" s="1371">
        <f>SUM(D335:D338)</f>
        <v>15871.7</v>
      </c>
      <c r="E334" s="1367">
        <v>15078.1</v>
      </c>
      <c r="F334" s="1367">
        <f>SUM(F335:F338)</f>
        <v>15871.7</v>
      </c>
      <c r="G334" s="1368">
        <f t="shared" si="51"/>
        <v>1</v>
      </c>
      <c r="H334" s="1259" t="s">
        <v>3131</v>
      </c>
      <c r="I334" s="1185" t="s">
        <v>3016</v>
      </c>
      <c r="J334" s="1260" t="s">
        <v>2955</v>
      </c>
      <c r="K334" s="1136" t="str">
        <f>'[7]Пр ГП 19-20'!$K$167</f>
        <v>Министерство строительства МО, администрации муниципальных образований</v>
      </c>
      <c r="L334" s="1199"/>
      <c r="M334" s="1380"/>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row>
    <row r="335" spans="1:137" s="364" customFormat="1" ht="15.75" customHeight="1">
      <c r="A335" s="1140"/>
      <c r="B335" s="1261"/>
      <c r="C335" s="1171" t="s">
        <v>9</v>
      </c>
      <c r="D335" s="1371">
        <v>15078.1</v>
      </c>
      <c r="E335" s="1367">
        <v>15078.1</v>
      </c>
      <c r="F335" s="1367">
        <v>15078.1</v>
      </c>
      <c r="G335" s="1368">
        <f t="shared" si="51"/>
        <v>1</v>
      </c>
      <c r="H335" s="1261"/>
      <c r="I335" s="1192"/>
      <c r="J335" s="1263"/>
      <c r="K335" s="1141"/>
      <c r="L335" s="1202"/>
      <c r="M335" s="1380"/>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row>
    <row r="336" spans="1:137" s="364" customFormat="1" ht="15.75" customHeight="1">
      <c r="A336" s="1140"/>
      <c r="B336" s="1261"/>
      <c r="C336" s="1171" t="s">
        <v>10</v>
      </c>
      <c r="D336" s="1371">
        <v>0</v>
      </c>
      <c r="E336" s="1367">
        <v>0</v>
      </c>
      <c r="F336" s="1367">
        <v>0</v>
      </c>
      <c r="G336" s="1368" t="e">
        <f t="shared" si="51"/>
        <v>#DIV/0!</v>
      </c>
      <c r="H336" s="1261"/>
      <c r="I336" s="1192"/>
      <c r="J336" s="1263"/>
      <c r="K336" s="1141"/>
      <c r="L336" s="1202"/>
      <c r="M336" s="1380"/>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row>
    <row r="337" spans="1:137" s="364" customFormat="1" ht="15.75" customHeight="1">
      <c r="A337" s="1140"/>
      <c r="B337" s="1261"/>
      <c r="C337" s="1171" t="s">
        <v>11</v>
      </c>
      <c r="D337" s="1371">
        <v>793.6</v>
      </c>
      <c r="E337" s="1367">
        <v>793.6</v>
      </c>
      <c r="F337" s="1367">
        <v>793.6</v>
      </c>
      <c r="G337" s="1368">
        <f t="shared" si="51"/>
        <v>1</v>
      </c>
      <c r="H337" s="1261"/>
      <c r="I337" s="1192"/>
      <c r="J337" s="1263"/>
      <c r="K337" s="1141"/>
      <c r="L337" s="1202"/>
      <c r="M337" s="1380"/>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row>
    <row r="338" spans="1:137" s="364" customFormat="1" ht="15.75" customHeight="1">
      <c r="A338" s="1140"/>
      <c r="B338" s="1264"/>
      <c r="C338" s="1357" t="s">
        <v>12</v>
      </c>
      <c r="D338" s="1367">
        <v>0</v>
      </c>
      <c r="E338" s="1367">
        <v>0</v>
      </c>
      <c r="F338" s="1367">
        <v>0</v>
      </c>
      <c r="G338" s="1368" t="e">
        <f t="shared" si="51"/>
        <v>#DIV/0!</v>
      </c>
      <c r="H338" s="1264"/>
      <c r="I338" s="1250"/>
      <c r="J338" s="1265"/>
      <c r="K338" s="1147"/>
      <c r="L338" s="1275"/>
      <c r="M338" s="1380"/>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row>
    <row r="339" spans="1:137" s="364" customFormat="1" ht="15">
      <c r="A339" s="1178" t="s">
        <v>2953</v>
      </c>
      <c r="B339" s="1381" t="s">
        <v>2937</v>
      </c>
      <c r="C339" s="742" t="s">
        <v>8</v>
      </c>
      <c r="D339" s="1229">
        <f>SUM(D340:D343)</f>
        <v>67438.159</v>
      </c>
      <c r="E339" s="1229">
        <f>SUM(E340:E343)</f>
        <v>60412.938000000002</v>
      </c>
      <c r="F339" s="1229">
        <f>SUM(F340:F343)</f>
        <v>60412.938000000002</v>
      </c>
      <c r="G339" s="1152">
        <f t="shared" ref="G339" si="52">F339/D339</f>
        <v>0.89582721260228948</v>
      </c>
      <c r="H339" s="1136"/>
      <c r="I339" s="1350" t="s">
        <v>268</v>
      </c>
      <c r="J339" s="1351">
        <v>1</v>
      </c>
      <c r="K339" s="1137" t="s">
        <v>2813</v>
      </c>
      <c r="L339" s="1199"/>
      <c r="M339" s="1156">
        <v>823</v>
      </c>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row>
    <row r="340" spans="1:137" s="364" customFormat="1" ht="15">
      <c r="A340" s="1187"/>
      <c r="B340" s="1382"/>
      <c r="C340" s="742" t="s">
        <v>9</v>
      </c>
      <c r="D340" s="1262">
        <v>19557.065999999999</v>
      </c>
      <c r="E340" s="1262">
        <v>17519.752</v>
      </c>
      <c r="F340" s="1262">
        <v>17519.752</v>
      </c>
      <c r="G340" s="1152">
        <f>F340/D340</f>
        <v>0.89582721661828013</v>
      </c>
      <c r="H340" s="1141"/>
      <c r="I340" s="1350" t="s">
        <v>269</v>
      </c>
      <c r="J340" s="1351">
        <v>0</v>
      </c>
      <c r="K340" s="1137"/>
      <c r="L340" s="1202"/>
      <c r="M340" s="1159"/>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row>
    <row r="341" spans="1:137" s="364" customFormat="1" ht="15">
      <c r="A341" s="1187"/>
      <c r="B341" s="1382"/>
      <c r="C341" s="742" t="s">
        <v>10</v>
      </c>
      <c r="D341" s="1262">
        <v>47881.093000000001</v>
      </c>
      <c r="E341" s="1262">
        <v>42893.186000000002</v>
      </c>
      <c r="F341" s="1262">
        <v>42893.186000000002</v>
      </c>
      <c r="G341" s="1152">
        <f>F341/D341</f>
        <v>0.89582721096195528</v>
      </c>
      <c r="H341" s="1141"/>
      <c r="I341" s="1350" t="s">
        <v>270</v>
      </c>
      <c r="J341" s="1351">
        <v>1</v>
      </c>
      <c r="K341" s="1137"/>
      <c r="L341" s="1202"/>
      <c r="M341" s="1159"/>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row>
    <row r="342" spans="1:137" s="364" customFormat="1" ht="15">
      <c r="A342" s="1187"/>
      <c r="B342" s="1382"/>
      <c r="C342" s="742" t="s">
        <v>11</v>
      </c>
      <c r="D342" s="1262">
        <v>0</v>
      </c>
      <c r="E342" s="1262">
        <v>0</v>
      </c>
      <c r="F342" s="1262">
        <v>0</v>
      </c>
      <c r="G342" s="1152">
        <v>0</v>
      </c>
      <c r="H342" s="1141"/>
      <c r="I342" s="1350" t="s">
        <v>271</v>
      </c>
      <c r="J342" s="1351">
        <v>0</v>
      </c>
      <c r="K342" s="1137"/>
      <c r="L342" s="1202"/>
      <c r="M342" s="1159"/>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row>
    <row r="343" spans="1:137" s="364" customFormat="1" ht="15">
      <c r="A343" s="1194"/>
      <c r="B343" s="1383"/>
      <c r="C343" s="1330" t="s">
        <v>12</v>
      </c>
      <c r="D343" s="1262">
        <v>0</v>
      </c>
      <c r="E343" s="1262">
        <v>0</v>
      </c>
      <c r="F343" s="1262">
        <v>0</v>
      </c>
      <c r="G343" s="1152">
        <v>0</v>
      </c>
      <c r="H343" s="1147"/>
      <c r="I343" s="1350" t="s">
        <v>272</v>
      </c>
      <c r="J343" s="1355">
        <f>(J340+0.5*J341)/J339</f>
        <v>0.5</v>
      </c>
      <c r="K343" s="1137"/>
      <c r="L343" s="1275"/>
      <c r="M343" s="1165"/>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row>
    <row r="344" spans="1:137" s="364" customFormat="1" ht="15">
      <c r="A344" s="1384" t="s">
        <v>2938</v>
      </c>
      <c r="B344" s="1259" t="s">
        <v>2939</v>
      </c>
      <c r="C344" s="1171" t="s">
        <v>8</v>
      </c>
      <c r="D344" s="1364">
        <f>SUM(D345:D348)</f>
        <v>67438.159</v>
      </c>
      <c r="E344" s="1367">
        <f>SUM(E345:E348)</f>
        <v>60412.938000000002</v>
      </c>
      <c r="F344" s="1367">
        <f>SUM(F345:F348)</f>
        <v>60412.938000000002</v>
      </c>
      <c r="G344" s="1368">
        <f t="shared" ref="G344:G345" si="53">F344/D344</f>
        <v>0.89582721260228948</v>
      </c>
      <c r="H344" s="1259" t="s">
        <v>2971</v>
      </c>
      <c r="I344" s="1259" t="s">
        <v>3098</v>
      </c>
      <c r="J344" s="1231" t="s">
        <v>2959</v>
      </c>
      <c r="K344" s="1136" t="s">
        <v>169</v>
      </c>
      <c r="L344" s="1141" t="s">
        <v>3157</v>
      </c>
      <c r="M344" s="1141">
        <v>823</v>
      </c>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row>
    <row r="345" spans="1:137" s="364" customFormat="1" ht="15">
      <c r="A345" s="1384"/>
      <c r="B345" s="1261"/>
      <c r="C345" s="1171" t="s">
        <v>9</v>
      </c>
      <c r="D345" s="1369">
        <v>19557.065999999999</v>
      </c>
      <c r="E345" s="1367">
        <v>17519.752</v>
      </c>
      <c r="F345" s="1367">
        <v>17519.752</v>
      </c>
      <c r="G345" s="1368">
        <f t="shared" si="53"/>
        <v>0.89582721661828013</v>
      </c>
      <c r="H345" s="1261"/>
      <c r="I345" s="1261"/>
      <c r="J345" s="1235"/>
      <c r="K345" s="1141"/>
      <c r="L345" s="1141"/>
      <c r="M345" s="1141"/>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row>
    <row r="346" spans="1:137" s="364" customFormat="1" ht="15">
      <c r="A346" s="1384"/>
      <c r="B346" s="1261"/>
      <c r="C346" s="1171" t="s">
        <v>10</v>
      </c>
      <c r="D346" s="1370">
        <v>47881.093000000001</v>
      </c>
      <c r="E346" s="1367">
        <v>42893.186000000002</v>
      </c>
      <c r="F346" s="1367">
        <v>42893.186000000002</v>
      </c>
      <c r="G346" s="1368">
        <v>0</v>
      </c>
      <c r="H346" s="1261"/>
      <c r="I346" s="1261"/>
      <c r="J346" s="1235"/>
      <c r="K346" s="1141"/>
      <c r="L346" s="1141"/>
      <c r="M346" s="1141"/>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row>
    <row r="347" spans="1:137" s="364" customFormat="1" ht="15">
      <c r="A347" s="1384"/>
      <c r="B347" s="1261"/>
      <c r="C347" s="1171" t="s">
        <v>11</v>
      </c>
      <c r="D347" s="1371">
        <v>0</v>
      </c>
      <c r="E347" s="1367">
        <v>0</v>
      </c>
      <c r="F347" s="1367">
        <v>0</v>
      </c>
      <c r="G347" s="1368">
        <v>0</v>
      </c>
      <c r="H347" s="1261"/>
      <c r="I347" s="1261"/>
      <c r="J347" s="1235"/>
      <c r="K347" s="1141"/>
      <c r="L347" s="1141"/>
      <c r="M347" s="1141"/>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row>
    <row r="348" spans="1:137" s="364" customFormat="1" ht="15">
      <c r="A348" s="1384"/>
      <c r="B348" s="1264"/>
      <c r="C348" s="1357" t="s">
        <v>12</v>
      </c>
      <c r="D348" s="1371">
        <v>0</v>
      </c>
      <c r="E348" s="1367">
        <v>0</v>
      </c>
      <c r="F348" s="1367">
        <v>0</v>
      </c>
      <c r="G348" s="1368">
        <v>0</v>
      </c>
      <c r="H348" s="1264"/>
      <c r="I348" s="1264"/>
      <c r="J348" s="1242"/>
      <c r="K348" s="1147"/>
      <c r="L348" s="1147"/>
      <c r="M348" s="1147"/>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row>
    <row r="349" spans="1:137" s="364" customFormat="1">
      <c r="A349" s="1178" t="s">
        <v>2868</v>
      </c>
      <c r="B349" s="1381" t="s">
        <v>633</v>
      </c>
      <c r="C349" s="742" t="s">
        <v>8</v>
      </c>
      <c r="D349" s="1229">
        <f>SUM(D350:D353)</f>
        <v>684506.55599999998</v>
      </c>
      <c r="E349" s="1229">
        <f>SUM(E350:E353)</f>
        <v>684412.91999999993</v>
      </c>
      <c r="F349" s="1229">
        <f>SUM(F350:F353)</f>
        <v>347011.77999999997</v>
      </c>
      <c r="G349" s="1152">
        <f t="shared" ref="G349:G353" si="54">F349/D349</f>
        <v>0.50695172596710669</v>
      </c>
      <c r="H349" s="1136"/>
      <c r="I349" s="1154" t="s">
        <v>268</v>
      </c>
      <c r="J349" s="1155">
        <v>3</v>
      </c>
      <c r="K349" s="1136" t="s">
        <v>2818</v>
      </c>
      <c r="L349" s="1199"/>
      <c r="M349" s="1156" t="s">
        <v>150</v>
      </c>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row>
    <row r="350" spans="1:137" s="364" customFormat="1">
      <c r="A350" s="1187"/>
      <c r="B350" s="1382"/>
      <c r="C350" s="742" t="s">
        <v>9</v>
      </c>
      <c r="D350" s="1262">
        <f t="shared" ref="D350:F350" si="55">SUM(D355,D360,D365)</f>
        <v>488280.63500000001</v>
      </c>
      <c r="E350" s="1262">
        <f t="shared" si="55"/>
        <v>488191.68</v>
      </c>
      <c r="F350" s="1262">
        <f t="shared" si="55"/>
        <v>192193.49</v>
      </c>
      <c r="G350" s="1152">
        <f t="shared" si="54"/>
        <v>0.39361276328314759</v>
      </c>
      <c r="H350" s="1141"/>
      <c r="I350" s="1154" t="s">
        <v>269</v>
      </c>
      <c r="J350" s="1385">
        <v>3</v>
      </c>
      <c r="K350" s="1141"/>
      <c r="L350" s="1202"/>
      <c r="M350" s="1159"/>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row>
    <row r="351" spans="1:137" s="364" customFormat="1">
      <c r="A351" s="1187"/>
      <c r="B351" s="1382"/>
      <c r="C351" s="742" t="s">
        <v>10</v>
      </c>
      <c r="D351" s="1262">
        <f t="shared" ref="D351:F351" si="56">SUM(D356,D361,D366)</f>
        <v>177607.9</v>
      </c>
      <c r="E351" s="1262">
        <f t="shared" si="56"/>
        <v>177607.9</v>
      </c>
      <c r="F351" s="1262">
        <f t="shared" si="56"/>
        <v>145078.5</v>
      </c>
      <c r="G351" s="1152">
        <f t="shared" si="54"/>
        <v>0.81684711096747387</v>
      </c>
      <c r="H351" s="1141"/>
      <c r="I351" s="1154" t="s">
        <v>270</v>
      </c>
      <c r="J351" s="1385">
        <v>0</v>
      </c>
      <c r="K351" s="1141"/>
      <c r="L351" s="1202"/>
      <c r="M351" s="1159"/>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c r="EA351" s="36"/>
      <c r="EB351" s="36"/>
      <c r="EC351" s="36"/>
      <c r="ED351" s="36"/>
      <c r="EE351" s="36"/>
      <c r="EF351" s="36"/>
      <c r="EG351" s="36"/>
    </row>
    <row r="352" spans="1:137" s="364" customFormat="1">
      <c r="A352" s="1187"/>
      <c r="B352" s="1382"/>
      <c r="C352" s="742" t="s">
        <v>11</v>
      </c>
      <c r="D352" s="1262">
        <f t="shared" ref="D352:F352" si="57">SUM(D357,D362,D367)</f>
        <v>18618.021000000001</v>
      </c>
      <c r="E352" s="1262">
        <f t="shared" si="57"/>
        <v>18613.34</v>
      </c>
      <c r="F352" s="1262">
        <f t="shared" si="57"/>
        <v>9739.7900000000009</v>
      </c>
      <c r="G352" s="1152">
        <f t="shared" si="54"/>
        <v>0.52313777065779443</v>
      </c>
      <c r="H352" s="1141"/>
      <c r="I352" s="1154" t="s">
        <v>271</v>
      </c>
      <c r="J352" s="1385">
        <v>0</v>
      </c>
      <c r="K352" s="1141"/>
      <c r="L352" s="1202"/>
      <c r="M352" s="1159"/>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row>
    <row r="353" spans="1:137" s="364" customFormat="1">
      <c r="A353" s="1194"/>
      <c r="B353" s="1383"/>
      <c r="C353" s="1330" t="s">
        <v>12</v>
      </c>
      <c r="D353" s="1262">
        <f t="shared" ref="D353:F353" si="58">SUM(D358,D363,D368)</f>
        <v>0</v>
      </c>
      <c r="E353" s="1262">
        <f t="shared" si="58"/>
        <v>0</v>
      </c>
      <c r="F353" s="1262">
        <f t="shared" si="58"/>
        <v>0</v>
      </c>
      <c r="G353" s="1152" t="e">
        <f t="shared" si="54"/>
        <v>#DIV/0!</v>
      </c>
      <c r="H353" s="1147"/>
      <c r="I353" s="1154" t="s">
        <v>272</v>
      </c>
      <c r="J353" s="1258">
        <f>(J350+0.5*J351)/J349</f>
        <v>1</v>
      </c>
      <c r="K353" s="1141"/>
      <c r="L353" s="1275"/>
      <c r="M353" s="1165"/>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6"/>
      <c r="DJ353" s="36"/>
      <c r="DK353" s="36"/>
      <c r="DL353" s="36"/>
      <c r="DM353" s="36"/>
      <c r="DN353" s="36"/>
      <c r="DO353" s="36"/>
      <c r="DP353" s="36"/>
      <c r="DQ353" s="36"/>
      <c r="DR353" s="36"/>
      <c r="DS353" s="36"/>
      <c r="DT353" s="36"/>
      <c r="DU353" s="36"/>
      <c r="DV353" s="36"/>
      <c r="DW353" s="36"/>
      <c r="DX353" s="36"/>
      <c r="DY353" s="36"/>
      <c r="DZ353" s="36"/>
      <c r="EA353" s="36"/>
      <c r="EB353" s="36"/>
      <c r="EC353" s="36"/>
      <c r="ED353" s="36"/>
      <c r="EE353" s="36"/>
      <c r="EF353" s="36"/>
      <c r="EG353" s="36"/>
    </row>
    <row r="354" spans="1:137" s="364" customFormat="1" ht="15">
      <c r="A354" s="1135" t="s">
        <v>2869</v>
      </c>
      <c r="B354" s="1276" t="s">
        <v>216</v>
      </c>
      <c r="C354" s="742" t="s">
        <v>8</v>
      </c>
      <c r="D354" s="1386">
        <v>5975.3</v>
      </c>
      <c r="E354" s="1229">
        <f>SUM(E355:E358)</f>
        <v>5975.3</v>
      </c>
      <c r="F354" s="1229">
        <f>SUM(F355:F358)</f>
        <v>5975.3</v>
      </c>
      <c r="G354" s="1152">
        <f>F354/D354</f>
        <v>1</v>
      </c>
      <c r="H354" s="1136" t="s">
        <v>2972</v>
      </c>
      <c r="I354" s="1136" t="s">
        <v>2973</v>
      </c>
      <c r="J354" s="1260" t="s">
        <v>330</v>
      </c>
      <c r="K354" s="1136" t="s">
        <v>2813</v>
      </c>
      <c r="L354" s="1207"/>
      <c r="M354" s="1156">
        <v>823</v>
      </c>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6"/>
      <c r="DF354" s="36"/>
      <c r="DG354" s="36"/>
      <c r="DH354" s="36"/>
      <c r="DI354" s="36"/>
      <c r="DJ354" s="36"/>
      <c r="DK354" s="36"/>
      <c r="DL354" s="36"/>
      <c r="DM354" s="36"/>
      <c r="DN354" s="36"/>
      <c r="DO354" s="36"/>
      <c r="DP354" s="36"/>
      <c r="DQ354" s="36"/>
      <c r="DR354" s="36"/>
      <c r="DS354" s="36"/>
      <c r="DT354" s="36"/>
      <c r="DU354" s="36"/>
      <c r="DV354" s="36"/>
      <c r="DW354" s="36"/>
      <c r="DX354" s="36"/>
      <c r="DY354" s="36"/>
      <c r="DZ354" s="36"/>
      <c r="EA354" s="36"/>
      <c r="EB354" s="36"/>
      <c r="EC354" s="36"/>
      <c r="ED354" s="36"/>
      <c r="EE354" s="36"/>
      <c r="EF354" s="36"/>
      <c r="EG354" s="36"/>
    </row>
    <row r="355" spans="1:137" s="364" customFormat="1" ht="15">
      <c r="A355" s="1140"/>
      <c r="B355" s="1280"/>
      <c r="C355" s="742" t="s">
        <v>9</v>
      </c>
      <c r="D355" s="1262">
        <v>5975.3</v>
      </c>
      <c r="E355" s="1162">
        <v>5975.3</v>
      </c>
      <c r="F355" s="1162">
        <v>5975.3</v>
      </c>
      <c r="G355" s="1152">
        <f t="shared" ref="G355:G358" si="59">F355/D355</f>
        <v>1</v>
      </c>
      <c r="H355" s="1141"/>
      <c r="I355" s="1141"/>
      <c r="J355" s="1263"/>
      <c r="K355" s="1141"/>
      <c r="L355" s="1234"/>
      <c r="M355" s="1159"/>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6"/>
      <c r="DF355" s="36"/>
      <c r="DG355" s="36"/>
      <c r="DH355" s="36"/>
      <c r="DI355" s="36"/>
      <c r="DJ355" s="36"/>
      <c r="DK355" s="36"/>
      <c r="DL355" s="36"/>
      <c r="DM355" s="36"/>
      <c r="DN355" s="36"/>
      <c r="DO355" s="36"/>
      <c r="DP355" s="36"/>
      <c r="DQ355" s="36"/>
      <c r="DR355" s="36"/>
      <c r="DS355" s="36"/>
      <c r="DT355" s="36"/>
      <c r="DU355" s="36"/>
      <c r="DV355" s="36"/>
      <c r="DW355" s="36"/>
      <c r="DX355" s="36"/>
      <c r="DY355" s="36"/>
      <c r="DZ355" s="36"/>
      <c r="EA355" s="36"/>
      <c r="EB355" s="36"/>
      <c r="EC355" s="36"/>
      <c r="ED355" s="36"/>
      <c r="EE355" s="36"/>
      <c r="EF355" s="36"/>
      <c r="EG355" s="36"/>
    </row>
    <row r="356" spans="1:137" s="364" customFormat="1" ht="15">
      <c r="A356" s="1140"/>
      <c r="B356" s="1280"/>
      <c r="C356" s="742" t="s">
        <v>10</v>
      </c>
      <c r="D356" s="1331">
        <v>0</v>
      </c>
      <c r="E356" s="1162">
        <v>0</v>
      </c>
      <c r="F356" s="1162">
        <v>0</v>
      </c>
      <c r="G356" s="1152" t="e">
        <f t="shared" si="59"/>
        <v>#DIV/0!</v>
      </c>
      <c r="H356" s="1141"/>
      <c r="I356" s="1141"/>
      <c r="J356" s="1263"/>
      <c r="K356" s="1141"/>
      <c r="L356" s="1234"/>
      <c r="M356" s="1159"/>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c r="EA356" s="36"/>
      <c r="EB356" s="36"/>
      <c r="EC356" s="36"/>
      <c r="ED356" s="36"/>
      <c r="EE356" s="36"/>
      <c r="EF356" s="36"/>
      <c r="EG356" s="36"/>
    </row>
    <row r="357" spans="1:137" s="364" customFormat="1" ht="15">
      <c r="A357" s="1140"/>
      <c r="B357" s="1280"/>
      <c r="C357" s="742" t="s">
        <v>11</v>
      </c>
      <c r="D357" s="1262">
        <v>0</v>
      </c>
      <c r="E357" s="1232">
        <v>0</v>
      </c>
      <c r="F357" s="1232">
        <v>0</v>
      </c>
      <c r="G357" s="1152" t="e">
        <f t="shared" si="59"/>
        <v>#DIV/0!</v>
      </c>
      <c r="H357" s="1141"/>
      <c r="I357" s="1141"/>
      <c r="J357" s="1263"/>
      <c r="K357" s="1141"/>
      <c r="L357" s="1234"/>
      <c r="M357" s="1159"/>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6"/>
      <c r="CU357" s="36"/>
      <c r="CV357" s="36"/>
      <c r="CW357" s="36"/>
      <c r="CX357" s="36"/>
      <c r="CY357" s="36"/>
      <c r="CZ357" s="36"/>
      <c r="DA357" s="36"/>
      <c r="DB357" s="36"/>
      <c r="DC357" s="36"/>
      <c r="DD357" s="36"/>
      <c r="DE357" s="36"/>
      <c r="DF357" s="36"/>
      <c r="DG357" s="36"/>
      <c r="DH357" s="36"/>
      <c r="DI357" s="36"/>
      <c r="DJ357" s="36"/>
      <c r="DK357" s="36"/>
      <c r="DL357" s="36"/>
      <c r="DM357" s="36"/>
      <c r="DN357" s="36"/>
      <c r="DO357" s="36"/>
      <c r="DP357" s="36"/>
      <c r="DQ357" s="36"/>
      <c r="DR357" s="36"/>
      <c r="DS357" s="36"/>
      <c r="DT357" s="36"/>
      <c r="DU357" s="36"/>
      <c r="DV357" s="36"/>
      <c r="DW357" s="36"/>
      <c r="DX357" s="36"/>
      <c r="DY357" s="36"/>
      <c r="DZ357" s="36"/>
      <c r="EA357" s="36"/>
      <c r="EB357" s="36"/>
      <c r="EC357" s="36"/>
      <c r="ED357" s="36"/>
      <c r="EE357" s="36"/>
      <c r="EF357" s="36"/>
      <c r="EG357" s="36"/>
    </row>
    <row r="358" spans="1:137" s="364" customFormat="1" ht="15">
      <c r="A358" s="1160"/>
      <c r="B358" s="1283"/>
      <c r="C358" s="1330" t="s">
        <v>12</v>
      </c>
      <c r="D358" s="1387">
        <v>0</v>
      </c>
      <c r="E358" s="1232">
        <v>0</v>
      </c>
      <c r="F358" s="1232">
        <v>0</v>
      </c>
      <c r="G358" s="1152" t="e">
        <f t="shared" si="59"/>
        <v>#DIV/0!</v>
      </c>
      <c r="H358" s="1147"/>
      <c r="I358" s="1147"/>
      <c r="J358" s="1265"/>
      <c r="K358" s="1141"/>
      <c r="L358" s="1237"/>
      <c r="M358" s="1165"/>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row>
    <row r="359" spans="1:137" s="364" customFormat="1" ht="33.75" customHeight="1">
      <c r="A359" s="1135" t="s">
        <v>2870</v>
      </c>
      <c r="B359" s="1276" t="s">
        <v>2838</v>
      </c>
      <c r="C359" s="742" t="s">
        <v>8</v>
      </c>
      <c r="D359" s="1229">
        <f>SUM(D360:D363)</f>
        <v>352683.53600000002</v>
      </c>
      <c r="E359" s="1229">
        <f>SUM(E360:E363)</f>
        <v>352683.54000000004</v>
      </c>
      <c r="F359" s="1229">
        <f>SUM(F360:F363)</f>
        <v>15282.4</v>
      </c>
      <c r="G359" s="1337">
        <f t="shared" ref="G359:G363" si="60">F359/D359</f>
        <v>4.3331764712714001E-2</v>
      </c>
      <c r="H359" s="1136" t="s">
        <v>2839</v>
      </c>
      <c r="I359" s="1136" t="s">
        <v>3176</v>
      </c>
      <c r="J359" s="1231" t="s">
        <v>2955</v>
      </c>
      <c r="K359" s="1136" t="s">
        <v>2672</v>
      </c>
      <c r="L359" s="1207" t="s">
        <v>3137</v>
      </c>
      <c r="M359" s="1156">
        <v>807</v>
      </c>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6"/>
      <c r="CU359" s="36"/>
      <c r="CV359" s="36"/>
      <c r="CW359" s="36"/>
      <c r="CX359" s="36"/>
      <c r="CY359" s="36"/>
      <c r="CZ359" s="36"/>
      <c r="DA359" s="36"/>
      <c r="DB359" s="36"/>
      <c r="DC359" s="36"/>
      <c r="DD359" s="36"/>
      <c r="DE359" s="36"/>
      <c r="DF359" s="36"/>
      <c r="DG359" s="36"/>
      <c r="DH359" s="36"/>
      <c r="DI359" s="36"/>
      <c r="DJ359" s="36"/>
      <c r="DK359" s="36"/>
      <c r="DL359" s="36"/>
      <c r="DM359" s="36"/>
      <c r="DN359" s="36"/>
      <c r="DO359" s="36"/>
      <c r="DP359" s="36"/>
      <c r="DQ359" s="36"/>
      <c r="DR359" s="36"/>
      <c r="DS359" s="36"/>
      <c r="DT359" s="36"/>
      <c r="DU359" s="36"/>
      <c r="DV359" s="36"/>
      <c r="DW359" s="36"/>
      <c r="DX359" s="36"/>
      <c r="DY359" s="36"/>
      <c r="DZ359" s="36"/>
      <c r="EA359" s="36"/>
      <c r="EB359" s="36"/>
      <c r="EC359" s="36"/>
      <c r="ED359" s="36"/>
      <c r="EE359" s="36"/>
      <c r="EF359" s="36"/>
      <c r="EG359" s="36"/>
    </row>
    <row r="360" spans="1:137" s="364" customFormat="1" ht="27" customHeight="1">
      <c r="A360" s="1140"/>
      <c r="B360" s="1280"/>
      <c r="C360" s="742" t="s">
        <v>9</v>
      </c>
      <c r="D360" s="1262">
        <v>310574.57500000001</v>
      </c>
      <c r="E360" s="1162">
        <v>310574.58</v>
      </c>
      <c r="F360" s="1162">
        <v>14576.39</v>
      </c>
      <c r="G360" s="1337">
        <f t="shared" si="60"/>
        <v>4.6933622947081227E-2</v>
      </c>
      <c r="H360" s="1141"/>
      <c r="I360" s="1141"/>
      <c r="J360" s="1235"/>
      <c r="K360" s="1141"/>
      <c r="L360" s="1234"/>
      <c r="M360" s="1159"/>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6"/>
      <c r="CU360" s="36"/>
      <c r="CV360" s="36"/>
      <c r="CW360" s="36"/>
      <c r="CX360" s="36"/>
      <c r="CY360" s="36"/>
      <c r="CZ360" s="36"/>
      <c r="DA360" s="36"/>
      <c r="DB360" s="36"/>
      <c r="DC360" s="36"/>
      <c r="DD360" s="36"/>
      <c r="DE360" s="36"/>
      <c r="DF360" s="36"/>
      <c r="DG360" s="36"/>
      <c r="DH360" s="36"/>
      <c r="DI360" s="36"/>
      <c r="DJ360" s="36"/>
      <c r="DK360" s="36"/>
      <c r="DL360" s="36"/>
      <c r="DM360" s="36"/>
      <c r="DN360" s="36"/>
      <c r="DO360" s="36"/>
      <c r="DP360" s="36"/>
      <c r="DQ360" s="36"/>
      <c r="DR360" s="36"/>
      <c r="DS360" s="36"/>
      <c r="DT360" s="36"/>
      <c r="DU360" s="36"/>
      <c r="DV360" s="36"/>
      <c r="DW360" s="36"/>
      <c r="DX360" s="36"/>
      <c r="DY360" s="36"/>
      <c r="DZ360" s="36"/>
      <c r="EA360" s="36"/>
      <c r="EB360" s="36"/>
      <c r="EC360" s="36"/>
      <c r="ED360" s="36"/>
      <c r="EE360" s="36"/>
      <c r="EF360" s="36"/>
      <c r="EG360" s="36"/>
    </row>
    <row r="361" spans="1:137" s="364" customFormat="1" ht="29.25" customHeight="1">
      <c r="A361" s="1140"/>
      <c r="B361" s="1280"/>
      <c r="C361" s="742" t="s">
        <v>10</v>
      </c>
      <c r="D361" s="1262">
        <v>32529.4</v>
      </c>
      <c r="E361" s="1162">
        <v>32529.4</v>
      </c>
      <c r="F361" s="1162">
        <v>0</v>
      </c>
      <c r="G361" s="1337">
        <f t="shared" si="60"/>
        <v>0</v>
      </c>
      <c r="H361" s="1141"/>
      <c r="I361" s="1141"/>
      <c r="J361" s="1235"/>
      <c r="K361" s="1141"/>
      <c r="L361" s="1234"/>
      <c r="M361" s="1159"/>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6"/>
      <c r="CU361" s="36"/>
      <c r="CV361" s="36"/>
      <c r="CW361" s="36"/>
      <c r="CX361" s="36"/>
      <c r="CY361" s="36"/>
      <c r="CZ361" s="36"/>
      <c r="DA361" s="36"/>
      <c r="DB361" s="36"/>
      <c r="DC361" s="36"/>
      <c r="DD361" s="36"/>
      <c r="DE361" s="36"/>
      <c r="DF361" s="36"/>
      <c r="DG361" s="36"/>
      <c r="DH361" s="36"/>
      <c r="DI361" s="36"/>
      <c r="DJ361" s="36"/>
      <c r="DK361" s="36"/>
      <c r="DL361" s="36"/>
      <c r="DM361" s="36"/>
      <c r="DN361" s="36"/>
      <c r="DO361" s="36"/>
      <c r="DP361" s="36"/>
      <c r="DQ361" s="36"/>
      <c r="DR361" s="36"/>
      <c r="DS361" s="36"/>
      <c r="DT361" s="36"/>
      <c r="DU361" s="36"/>
      <c r="DV361" s="36"/>
      <c r="DW361" s="36"/>
      <c r="DX361" s="36"/>
      <c r="DY361" s="36"/>
      <c r="DZ361" s="36"/>
      <c r="EA361" s="36"/>
      <c r="EB361" s="36"/>
      <c r="EC361" s="36"/>
      <c r="ED361" s="36"/>
      <c r="EE361" s="36"/>
      <c r="EF361" s="36"/>
      <c r="EG361" s="36"/>
    </row>
    <row r="362" spans="1:137" s="364" customFormat="1" ht="27" customHeight="1">
      <c r="A362" s="1140"/>
      <c r="B362" s="1280"/>
      <c r="C362" s="742" t="s">
        <v>11</v>
      </c>
      <c r="D362" s="1262">
        <v>9579.5609999999997</v>
      </c>
      <c r="E362" s="1162">
        <v>9579.56</v>
      </c>
      <c r="F362" s="1162">
        <v>706.01</v>
      </c>
      <c r="G362" s="1337">
        <f t="shared" si="60"/>
        <v>7.3699619429324584E-2</v>
      </c>
      <c r="H362" s="1141"/>
      <c r="I362" s="1141"/>
      <c r="J362" s="1235"/>
      <c r="K362" s="1141"/>
      <c r="L362" s="1234"/>
      <c r="M362" s="1159"/>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row>
    <row r="363" spans="1:137" s="364" customFormat="1" ht="27" customHeight="1">
      <c r="A363" s="1160"/>
      <c r="B363" s="1283"/>
      <c r="C363" s="1330" t="s">
        <v>12</v>
      </c>
      <c r="D363" s="1388">
        <v>0</v>
      </c>
      <c r="E363" s="1162">
        <v>0</v>
      </c>
      <c r="F363" s="1162">
        <v>0</v>
      </c>
      <c r="G363" s="1337" t="e">
        <f t="shared" si="60"/>
        <v>#DIV/0!</v>
      </c>
      <c r="H363" s="1147"/>
      <c r="I363" s="1147"/>
      <c r="J363" s="1242"/>
      <c r="K363" s="1141"/>
      <c r="L363" s="1237"/>
      <c r="M363" s="1165"/>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row>
    <row r="364" spans="1:137" s="364" customFormat="1" ht="37.5" customHeight="1">
      <c r="A364" s="1178" t="s">
        <v>2871</v>
      </c>
      <c r="B364" s="1276" t="s">
        <v>2840</v>
      </c>
      <c r="C364" s="742" t="s">
        <v>8</v>
      </c>
      <c r="D364" s="1389">
        <f>SUM(D365:D368)</f>
        <v>325847.72000000003</v>
      </c>
      <c r="E364" s="1390">
        <f>SUM(E365:E368)</f>
        <v>325754.08</v>
      </c>
      <c r="F364" s="1390">
        <f>SUM(F365:F368)</f>
        <v>325754.08</v>
      </c>
      <c r="G364" s="1391">
        <f>F364/D364</f>
        <v>0.99971262649927395</v>
      </c>
      <c r="H364" s="1136" t="s">
        <v>2841</v>
      </c>
      <c r="I364" s="1136" t="s">
        <v>3109</v>
      </c>
      <c r="J364" s="1260" t="s">
        <v>330</v>
      </c>
      <c r="K364" s="1136" t="s">
        <v>2672</v>
      </c>
      <c r="L364" s="1207"/>
      <c r="M364" s="1156">
        <v>807</v>
      </c>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6"/>
      <c r="CU364" s="36"/>
      <c r="CV364" s="36"/>
      <c r="CW364" s="36"/>
      <c r="CX364" s="36"/>
      <c r="CY364" s="36"/>
      <c r="CZ364" s="36"/>
      <c r="DA364" s="36"/>
      <c r="DB364" s="36"/>
      <c r="DC364" s="36"/>
      <c r="DD364" s="36"/>
      <c r="DE364" s="36"/>
      <c r="DF364" s="36"/>
      <c r="DG364" s="36"/>
      <c r="DH364" s="36"/>
      <c r="DI364" s="36"/>
      <c r="DJ364" s="36"/>
      <c r="DK364" s="36"/>
      <c r="DL364" s="36"/>
      <c r="DM364" s="36"/>
      <c r="DN364" s="36"/>
      <c r="DO364" s="36"/>
      <c r="DP364" s="36"/>
      <c r="DQ364" s="36"/>
      <c r="DR364" s="36"/>
      <c r="DS364" s="36"/>
      <c r="DT364" s="36"/>
      <c r="DU364" s="36"/>
      <c r="DV364" s="36"/>
      <c r="DW364" s="36"/>
      <c r="DX364" s="36"/>
      <c r="DY364" s="36"/>
      <c r="DZ364" s="36"/>
      <c r="EA364" s="36"/>
      <c r="EB364" s="36"/>
      <c r="EC364" s="36"/>
      <c r="ED364" s="36"/>
      <c r="EE364" s="36"/>
      <c r="EF364" s="36"/>
      <c r="EG364" s="36"/>
    </row>
    <row r="365" spans="1:137" s="364" customFormat="1" ht="27.75" customHeight="1">
      <c r="A365" s="1187"/>
      <c r="B365" s="1280"/>
      <c r="C365" s="742" t="s">
        <v>9</v>
      </c>
      <c r="D365" s="1392">
        <v>171730.76</v>
      </c>
      <c r="E365" s="1393">
        <v>171641.8</v>
      </c>
      <c r="F365" s="1393">
        <v>171641.8</v>
      </c>
      <c r="G365" s="1391">
        <f>F365/D365</f>
        <v>0.99948197981538067</v>
      </c>
      <c r="H365" s="1141"/>
      <c r="I365" s="1141"/>
      <c r="J365" s="1263"/>
      <c r="K365" s="1141"/>
      <c r="L365" s="1234"/>
      <c r="M365" s="1159"/>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6"/>
      <c r="CU365" s="36"/>
      <c r="CV365" s="36"/>
      <c r="CW365" s="36"/>
      <c r="CX365" s="36"/>
      <c r="CY365" s="36"/>
      <c r="CZ365" s="36"/>
      <c r="DA365" s="36"/>
      <c r="DB365" s="36"/>
      <c r="DC365" s="36"/>
      <c r="DD365" s="36"/>
      <c r="DE365" s="36"/>
      <c r="DF365" s="36"/>
      <c r="DG365" s="36"/>
      <c r="DH365" s="36"/>
      <c r="DI365" s="36"/>
      <c r="DJ365" s="36"/>
      <c r="DK365" s="36"/>
      <c r="DL365" s="36"/>
      <c r="DM365" s="36"/>
      <c r="DN365" s="36"/>
      <c r="DO365" s="36"/>
      <c r="DP365" s="36"/>
      <c r="DQ365" s="36"/>
      <c r="DR365" s="36"/>
      <c r="DS365" s="36"/>
      <c r="DT365" s="36"/>
      <c r="DU365" s="36"/>
      <c r="DV365" s="36"/>
      <c r="DW365" s="36"/>
      <c r="DX365" s="36"/>
      <c r="DY365" s="36"/>
      <c r="DZ365" s="36"/>
      <c r="EA365" s="36"/>
      <c r="EB365" s="36"/>
      <c r="EC365" s="36"/>
      <c r="ED365" s="36"/>
      <c r="EE365" s="36"/>
      <c r="EF365" s="36"/>
      <c r="EG365" s="36"/>
    </row>
    <row r="366" spans="1:137" s="364" customFormat="1" ht="19.5" customHeight="1">
      <c r="A366" s="1187"/>
      <c r="B366" s="1280"/>
      <c r="C366" s="742" t="s">
        <v>10</v>
      </c>
      <c r="D366" s="1392">
        <v>145078.5</v>
      </c>
      <c r="E366" s="1393">
        <v>145078.5</v>
      </c>
      <c r="F366" s="1393">
        <v>145078.5</v>
      </c>
      <c r="G366" s="1391">
        <f t="shared" ref="G366:G367" si="61">F366/D366</f>
        <v>1</v>
      </c>
      <c r="H366" s="1141"/>
      <c r="I366" s="1141"/>
      <c r="J366" s="1263"/>
      <c r="K366" s="1141"/>
      <c r="L366" s="1234"/>
      <c r="M366" s="1159"/>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6"/>
      <c r="CU366" s="36"/>
      <c r="CV366" s="36"/>
      <c r="CW366" s="36"/>
      <c r="CX366" s="36"/>
      <c r="CY366" s="36"/>
      <c r="CZ366" s="36"/>
      <c r="DA366" s="36"/>
      <c r="DB366" s="36"/>
      <c r="DC366" s="36"/>
      <c r="DD366" s="36"/>
      <c r="DE366" s="36"/>
      <c r="DF366" s="36"/>
      <c r="DG366" s="36"/>
      <c r="DH366" s="36"/>
      <c r="DI366" s="36"/>
      <c r="DJ366" s="36"/>
      <c r="DK366" s="36"/>
      <c r="DL366" s="36"/>
      <c r="DM366" s="36"/>
      <c r="DN366" s="36"/>
      <c r="DO366" s="36"/>
      <c r="DP366" s="36"/>
      <c r="DQ366" s="36"/>
      <c r="DR366" s="36"/>
      <c r="DS366" s="36"/>
      <c r="DT366" s="36"/>
      <c r="DU366" s="36"/>
      <c r="DV366" s="36"/>
      <c r="DW366" s="36"/>
      <c r="DX366" s="36"/>
      <c r="DY366" s="36"/>
      <c r="DZ366" s="36"/>
      <c r="EA366" s="36"/>
      <c r="EB366" s="36"/>
      <c r="EC366" s="36"/>
      <c r="ED366" s="36"/>
      <c r="EE366" s="36"/>
      <c r="EF366" s="36"/>
      <c r="EG366" s="36"/>
    </row>
    <row r="367" spans="1:137" s="364" customFormat="1" ht="26.25" customHeight="1">
      <c r="A367" s="1187"/>
      <c r="B367" s="1280"/>
      <c r="C367" s="742" t="s">
        <v>11</v>
      </c>
      <c r="D367" s="1393">
        <v>9038.4599999999991</v>
      </c>
      <c r="E367" s="1393">
        <v>9033.7800000000007</v>
      </c>
      <c r="F367" s="1393">
        <v>9033.7800000000007</v>
      </c>
      <c r="G367" s="1391">
        <f t="shared" si="61"/>
        <v>0.99948221267782356</v>
      </c>
      <c r="H367" s="1141"/>
      <c r="I367" s="1141"/>
      <c r="J367" s="1263"/>
      <c r="K367" s="1141"/>
      <c r="L367" s="1234"/>
      <c r="M367" s="1159"/>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6"/>
      <c r="CU367" s="36"/>
      <c r="CV367" s="36"/>
      <c r="CW367" s="36"/>
      <c r="CX367" s="36"/>
      <c r="CY367" s="36"/>
      <c r="CZ367" s="36"/>
      <c r="DA367" s="36"/>
      <c r="DB367" s="36"/>
      <c r="DC367" s="36"/>
      <c r="DD367" s="36"/>
      <c r="DE367" s="36"/>
      <c r="DF367" s="36"/>
      <c r="DG367" s="36"/>
      <c r="DH367" s="36"/>
      <c r="DI367" s="36"/>
      <c r="DJ367" s="36"/>
      <c r="DK367" s="36"/>
      <c r="DL367" s="36"/>
      <c r="DM367" s="36"/>
      <c r="DN367" s="36"/>
      <c r="DO367" s="36"/>
      <c r="DP367" s="36"/>
      <c r="DQ367" s="36"/>
      <c r="DR367" s="36"/>
      <c r="DS367" s="36"/>
      <c r="DT367" s="36"/>
      <c r="DU367" s="36"/>
      <c r="DV367" s="36"/>
      <c r="DW367" s="36"/>
      <c r="DX367" s="36"/>
      <c r="DY367" s="36"/>
      <c r="DZ367" s="36"/>
      <c r="EA367" s="36"/>
      <c r="EB367" s="36"/>
      <c r="EC367" s="36"/>
      <c r="ED367" s="36"/>
      <c r="EE367" s="36"/>
      <c r="EF367" s="36"/>
      <c r="EG367" s="36"/>
    </row>
    <row r="368" spans="1:137" s="364" customFormat="1" ht="27" customHeight="1">
      <c r="A368" s="1194"/>
      <c r="B368" s="1283"/>
      <c r="C368" s="1336" t="s">
        <v>12</v>
      </c>
      <c r="D368" s="1394">
        <v>0</v>
      </c>
      <c r="E368" s="1393">
        <v>0</v>
      </c>
      <c r="F368" s="1393">
        <v>0</v>
      </c>
      <c r="G368" s="1391">
        <v>0</v>
      </c>
      <c r="H368" s="1147"/>
      <c r="I368" s="1147"/>
      <c r="J368" s="1265"/>
      <c r="K368" s="1147"/>
      <c r="L368" s="1237"/>
      <c r="M368" s="1165"/>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6"/>
      <c r="CU368" s="36"/>
      <c r="CV368" s="36"/>
      <c r="CW368" s="36"/>
      <c r="CX368" s="36"/>
      <c r="CY368" s="36"/>
      <c r="CZ368" s="36"/>
      <c r="DA368" s="36"/>
      <c r="DB368" s="36"/>
      <c r="DC368" s="36"/>
      <c r="DD368" s="36"/>
      <c r="DE368" s="36"/>
      <c r="DF368" s="36"/>
      <c r="DG368" s="36"/>
      <c r="DH368" s="36"/>
      <c r="DI368" s="36"/>
      <c r="DJ368" s="36"/>
      <c r="DK368" s="36"/>
      <c r="DL368" s="36"/>
      <c r="DM368" s="36"/>
      <c r="DN368" s="36"/>
      <c r="DO368" s="36"/>
      <c r="DP368" s="36"/>
      <c r="DQ368" s="36"/>
      <c r="DR368" s="36"/>
      <c r="DS368" s="36"/>
      <c r="DT368" s="36"/>
      <c r="DU368" s="36"/>
      <c r="DV368" s="36"/>
      <c r="DW368" s="36"/>
      <c r="DX368" s="36"/>
      <c r="DY368" s="36"/>
      <c r="DZ368" s="36"/>
      <c r="EA368" s="36"/>
      <c r="EB368" s="36"/>
      <c r="EC368" s="36"/>
      <c r="ED368" s="36"/>
      <c r="EE368" s="36"/>
      <c r="EF368" s="36"/>
      <c r="EG368" s="36"/>
    </row>
    <row r="369" spans="1:137" s="364" customFormat="1">
      <c r="A369" s="1323" t="s">
        <v>129</v>
      </c>
      <c r="B369" s="1252" t="s">
        <v>130</v>
      </c>
      <c r="C369" s="1205" t="s">
        <v>8</v>
      </c>
      <c r="D369" s="1229">
        <v>50867.6</v>
      </c>
      <c r="E369" s="1181">
        <f>SUM(E370:E373)</f>
        <v>48728.745000000003</v>
      </c>
      <c r="F369" s="1181">
        <f>SUM(F370:F373)</f>
        <v>48728.745000000003</v>
      </c>
      <c r="G369" s="1152">
        <f t="shared" ref="G369:G370" si="62">F369/D369</f>
        <v>0.95795250807979937</v>
      </c>
      <c r="H369" s="1395"/>
      <c r="I369" s="1396" t="s">
        <v>268</v>
      </c>
      <c r="J369" s="1397">
        <v>1</v>
      </c>
      <c r="K369" s="1398" t="s">
        <v>2813</v>
      </c>
      <c r="L369" s="1136"/>
      <c r="M369" s="1156">
        <v>823</v>
      </c>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6"/>
      <c r="DF369" s="36"/>
      <c r="DG369" s="36"/>
      <c r="DH369" s="36"/>
      <c r="DI369" s="36"/>
      <c r="DJ369" s="36"/>
      <c r="DK369" s="36"/>
      <c r="DL369" s="36"/>
      <c r="DM369" s="36"/>
      <c r="DN369" s="36"/>
      <c r="DO369" s="36"/>
      <c r="DP369" s="36"/>
      <c r="DQ369" s="36"/>
      <c r="DR369" s="36"/>
      <c r="DS369" s="36"/>
      <c r="DT369" s="36"/>
      <c r="DU369" s="36"/>
      <c r="DV369" s="36"/>
      <c r="DW369" s="36"/>
      <c r="DX369" s="36"/>
      <c r="DY369" s="36"/>
      <c r="DZ369" s="36"/>
      <c r="EA369" s="36"/>
      <c r="EB369" s="36"/>
      <c r="EC369" s="36"/>
      <c r="ED369" s="36"/>
      <c r="EE369" s="36"/>
      <c r="EF369" s="36"/>
      <c r="EG369" s="36"/>
    </row>
    <row r="370" spans="1:137" s="364" customFormat="1">
      <c r="A370" s="1324"/>
      <c r="B370" s="1254"/>
      <c r="C370" s="1205" t="s">
        <v>9</v>
      </c>
      <c r="D370" s="1239">
        <v>50867.6</v>
      </c>
      <c r="E370" s="1399">
        <f>E375</f>
        <v>48728.745000000003</v>
      </c>
      <c r="F370" s="1399">
        <f>F375</f>
        <v>48728.745000000003</v>
      </c>
      <c r="G370" s="1152">
        <f t="shared" si="62"/>
        <v>0.95795250807979937</v>
      </c>
      <c r="H370" s="1400"/>
      <c r="I370" s="1396" t="s">
        <v>269</v>
      </c>
      <c r="J370" s="1401">
        <f>J375</f>
        <v>1</v>
      </c>
      <c r="K370" s="1402"/>
      <c r="L370" s="1141"/>
      <c r="M370" s="1159"/>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c r="EA370" s="36"/>
      <c r="EB370" s="36"/>
      <c r="EC370" s="36"/>
      <c r="ED370" s="36"/>
      <c r="EE370" s="36"/>
      <c r="EF370" s="36"/>
      <c r="EG370" s="36"/>
    </row>
    <row r="371" spans="1:137" s="364" customFormat="1">
      <c r="A371" s="1324"/>
      <c r="B371" s="1254"/>
      <c r="C371" s="1205" t="s">
        <v>10</v>
      </c>
      <c r="D371" s="1239">
        <v>0</v>
      </c>
      <c r="E371" s="1239">
        <v>0</v>
      </c>
      <c r="F371" s="1239">
        <v>0</v>
      </c>
      <c r="G371" s="1152">
        <v>0</v>
      </c>
      <c r="H371" s="1400"/>
      <c r="I371" s="1396" t="s">
        <v>270</v>
      </c>
      <c r="J371" s="1401">
        <v>0</v>
      </c>
      <c r="K371" s="1402"/>
      <c r="L371" s="1141"/>
      <c r="M371" s="1159"/>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6"/>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c r="EA371" s="36"/>
      <c r="EB371" s="36"/>
      <c r="EC371" s="36"/>
      <c r="ED371" s="36"/>
      <c r="EE371" s="36"/>
      <c r="EF371" s="36"/>
      <c r="EG371" s="36"/>
    </row>
    <row r="372" spans="1:137" s="364" customFormat="1">
      <c r="A372" s="1324"/>
      <c r="B372" s="1254"/>
      <c r="C372" s="1205" t="s">
        <v>11</v>
      </c>
      <c r="D372" s="1239">
        <v>0</v>
      </c>
      <c r="E372" s="1239">
        <v>0</v>
      </c>
      <c r="F372" s="1239">
        <v>0</v>
      </c>
      <c r="G372" s="1152">
        <v>0</v>
      </c>
      <c r="H372" s="1400"/>
      <c r="I372" s="1396" t="s">
        <v>271</v>
      </c>
      <c r="J372" s="1401">
        <f>J377</f>
        <v>0</v>
      </c>
      <c r="K372" s="1402"/>
      <c r="L372" s="1141"/>
      <c r="M372" s="1159"/>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6"/>
      <c r="CU372" s="36"/>
      <c r="CV372" s="36"/>
      <c r="CW372" s="36"/>
      <c r="CX372" s="36"/>
      <c r="CY372" s="36"/>
      <c r="CZ372" s="36"/>
      <c r="DA372" s="36"/>
      <c r="DB372" s="36"/>
      <c r="DC372" s="36"/>
      <c r="DD372" s="36"/>
      <c r="DE372" s="36"/>
      <c r="DF372" s="36"/>
      <c r="DG372" s="36"/>
      <c r="DH372" s="36"/>
      <c r="DI372" s="36"/>
      <c r="DJ372" s="36"/>
      <c r="DK372" s="36"/>
      <c r="DL372" s="36"/>
      <c r="DM372" s="36"/>
      <c r="DN372" s="36"/>
      <c r="DO372" s="36"/>
      <c r="DP372" s="36"/>
      <c r="DQ372" s="36"/>
      <c r="DR372" s="36"/>
      <c r="DS372" s="36"/>
      <c r="DT372" s="36"/>
      <c r="DU372" s="36"/>
      <c r="DV372" s="36"/>
      <c r="DW372" s="36"/>
      <c r="DX372" s="36"/>
      <c r="DY372" s="36"/>
      <c r="DZ372" s="36"/>
      <c r="EA372" s="36"/>
      <c r="EB372" s="36"/>
      <c r="EC372" s="36"/>
      <c r="ED372" s="36"/>
      <c r="EE372" s="36"/>
      <c r="EF372" s="36"/>
      <c r="EG372" s="36"/>
    </row>
    <row r="373" spans="1:137" s="364" customFormat="1">
      <c r="A373" s="1325"/>
      <c r="B373" s="1256"/>
      <c r="C373" s="1205" t="s">
        <v>12</v>
      </c>
      <c r="D373" s="1239">
        <v>0</v>
      </c>
      <c r="E373" s="1239">
        <v>0</v>
      </c>
      <c r="F373" s="1239">
        <v>0</v>
      </c>
      <c r="G373" s="1152">
        <v>0</v>
      </c>
      <c r="H373" s="1403"/>
      <c r="I373" s="1396" t="s">
        <v>272</v>
      </c>
      <c r="J373" s="1404">
        <f>(J370+0.5*J371)/J369</f>
        <v>1</v>
      </c>
      <c r="K373" s="1405"/>
      <c r="L373" s="1147"/>
      <c r="M373" s="1165"/>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6"/>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c r="EA373" s="36"/>
      <c r="EB373" s="36"/>
      <c r="EC373" s="36"/>
      <c r="ED373" s="36"/>
      <c r="EE373" s="36"/>
      <c r="EF373" s="36"/>
      <c r="EG373" s="36"/>
    </row>
    <row r="374" spans="1:137" s="364" customFormat="1">
      <c r="A374" s="1323" t="s">
        <v>131</v>
      </c>
      <c r="B374" s="1252" t="s">
        <v>687</v>
      </c>
      <c r="C374" s="1205" t="s">
        <v>8</v>
      </c>
      <c r="D374" s="1229">
        <v>50867.6</v>
      </c>
      <c r="E374" s="1189">
        <f>SUM(E375:E378)</f>
        <v>48728.745000000003</v>
      </c>
      <c r="F374" s="1189">
        <f>SUM(F375:F378)</f>
        <v>48728.745000000003</v>
      </c>
      <c r="G374" s="1152">
        <f t="shared" ref="G374:G375" si="63">F374/D374</f>
        <v>0.95795250807979937</v>
      </c>
      <c r="H374" s="1153"/>
      <c r="I374" s="1154" t="s">
        <v>268</v>
      </c>
      <c r="J374" s="1191">
        <v>1</v>
      </c>
      <c r="K374" s="1136" t="s">
        <v>2813</v>
      </c>
      <c r="L374" s="1136"/>
      <c r="M374" s="1156">
        <v>823</v>
      </c>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row>
    <row r="375" spans="1:137" s="364" customFormat="1">
      <c r="A375" s="1324"/>
      <c r="B375" s="1254"/>
      <c r="C375" s="742" t="s">
        <v>9</v>
      </c>
      <c r="D375" s="1162">
        <v>50867.6</v>
      </c>
      <c r="E375" s="1189">
        <f>E380</f>
        <v>48728.745000000003</v>
      </c>
      <c r="F375" s="1189">
        <f>F380</f>
        <v>48728.745000000003</v>
      </c>
      <c r="G375" s="1152">
        <f t="shared" si="63"/>
        <v>0.95795250807979937</v>
      </c>
      <c r="H375" s="1158"/>
      <c r="I375" s="1154" t="s">
        <v>269</v>
      </c>
      <c r="J375" s="1385">
        <v>1</v>
      </c>
      <c r="K375" s="1141"/>
      <c r="L375" s="1141"/>
      <c r="M375" s="1159"/>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6"/>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c r="EA375" s="36"/>
      <c r="EB375" s="36"/>
      <c r="EC375" s="36"/>
      <c r="ED375" s="36"/>
      <c r="EE375" s="36"/>
      <c r="EF375" s="36"/>
      <c r="EG375" s="36"/>
    </row>
    <row r="376" spans="1:137" s="364" customFormat="1">
      <c r="A376" s="1324"/>
      <c r="B376" s="1254"/>
      <c r="C376" s="742" t="s">
        <v>10</v>
      </c>
      <c r="D376" s="1162">
        <v>0</v>
      </c>
      <c r="E376" s="1162">
        <v>0</v>
      </c>
      <c r="F376" s="1162">
        <v>0</v>
      </c>
      <c r="G376" s="1152">
        <v>0</v>
      </c>
      <c r="H376" s="1158"/>
      <c r="I376" s="1154" t="s">
        <v>270</v>
      </c>
      <c r="J376" s="1385">
        <v>0</v>
      </c>
      <c r="K376" s="1141"/>
      <c r="L376" s="1141"/>
      <c r="M376" s="1159"/>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6"/>
      <c r="CU376" s="36"/>
      <c r="CV376" s="36"/>
      <c r="CW376" s="36"/>
      <c r="CX376" s="36"/>
      <c r="CY376" s="36"/>
      <c r="CZ376" s="36"/>
      <c r="DA376" s="36"/>
      <c r="DB376" s="36"/>
      <c r="DC376" s="36"/>
      <c r="DD376" s="36"/>
      <c r="DE376" s="36"/>
      <c r="DF376" s="36"/>
      <c r="DG376" s="36"/>
      <c r="DH376" s="36"/>
      <c r="DI376" s="36"/>
      <c r="DJ376" s="36"/>
      <c r="DK376" s="36"/>
      <c r="DL376" s="36"/>
      <c r="DM376" s="36"/>
      <c r="DN376" s="36"/>
      <c r="DO376" s="36"/>
      <c r="DP376" s="36"/>
      <c r="DQ376" s="36"/>
      <c r="DR376" s="36"/>
      <c r="DS376" s="36"/>
      <c r="DT376" s="36"/>
      <c r="DU376" s="36"/>
      <c r="DV376" s="36"/>
      <c r="DW376" s="36"/>
      <c r="DX376" s="36"/>
      <c r="DY376" s="36"/>
      <c r="DZ376" s="36"/>
      <c r="EA376" s="36"/>
      <c r="EB376" s="36"/>
      <c r="EC376" s="36"/>
      <c r="ED376" s="36"/>
      <c r="EE376" s="36"/>
      <c r="EF376" s="36"/>
      <c r="EG376" s="36"/>
    </row>
    <row r="377" spans="1:137" s="364" customFormat="1">
      <c r="A377" s="1324"/>
      <c r="B377" s="1254"/>
      <c r="C377" s="742" t="s">
        <v>11</v>
      </c>
      <c r="D377" s="1162">
        <v>0</v>
      </c>
      <c r="E377" s="1162">
        <v>0</v>
      </c>
      <c r="F377" s="1162">
        <v>0</v>
      </c>
      <c r="G377" s="1152">
        <v>0</v>
      </c>
      <c r="H377" s="1158"/>
      <c r="I377" s="1154" t="s">
        <v>271</v>
      </c>
      <c r="J377" s="1385">
        <f>J382</f>
        <v>0</v>
      </c>
      <c r="K377" s="1141"/>
      <c r="L377" s="1141"/>
      <c r="M377" s="1159"/>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6"/>
      <c r="CU377" s="36"/>
      <c r="CV377" s="36"/>
      <c r="CW377" s="36"/>
      <c r="CX377" s="36"/>
      <c r="CY377" s="36"/>
      <c r="CZ377" s="36"/>
      <c r="DA377" s="36"/>
      <c r="DB377" s="36"/>
      <c r="DC377" s="36"/>
      <c r="DD377" s="36"/>
      <c r="DE377" s="36"/>
      <c r="DF377" s="36"/>
      <c r="DG377" s="36"/>
      <c r="DH377" s="36"/>
      <c r="DI377" s="36"/>
      <c r="DJ377" s="36"/>
      <c r="DK377" s="36"/>
      <c r="DL377" s="36"/>
      <c r="DM377" s="36"/>
      <c r="DN377" s="36"/>
      <c r="DO377" s="36"/>
      <c r="DP377" s="36"/>
      <c r="DQ377" s="36"/>
      <c r="DR377" s="36"/>
      <c r="DS377" s="36"/>
      <c r="DT377" s="36"/>
      <c r="DU377" s="36"/>
      <c r="DV377" s="36"/>
      <c r="DW377" s="36"/>
      <c r="DX377" s="36"/>
      <c r="DY377" s="36"/>
      <c r="DZ377" s="36"/>
      <c r="EA377" s="36"/>
      <c r="EB377" s="36"/>
      <c r="EC377" s="36"/>
      <c r="ED377" s="36"/>
      <c r="EE377" s="36"/>
      <c r="EF377" s="36"/>
      <c r="EG377" s="36"/>
    </row>
    <row r="378" spans="1:137" s="364" customFormat="1">
      <c r="A378" s="1325"/>
      <c r="B378" s="1256"/>
      <c r="C378" s="742" t="s">
        <v>12</v>
      </c>
      <c r="D378" s="1162">
        <v>0</v>
      </c>
      <c r="E378" s="1162">
        <v>0</v>
      </c>
      <c r="F378" s="1162">
        <v>0</v>
      </c>
      <c r="G378" s="1152">
        <v>0</v>
      </c>
      <c r="H378" s="1163"/>
      <c r="I378" s="1154" t="s">
        <v>272</v>
      </c>
      <c r="J378" s="1258">
        <f>(J375+0.5*J376)/J374</f>
        <v>1</v>
      </c>
      <c r="K378" s="1147"/>
      <c r="L378" s="1147"/>
      <c r="M378" s="1165"/>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c r="DI378" s="36"/>
      <c r="DJ378" s="36"/>
      <c r="DK378" s="36"/>
      <c r="DL378" s="36"/>
      <c r="DM378" s="36"/>
      <c r="DN378" s="36"/>
      <c r="DO378" s="36"/>
      <c r="DP378" s="36"/>
      <c r="DQ378" s="36"/>
      <c r="DR378" s="36"/>
      <c r="DS378" s="36"/>
      <c r="DT378" s="36"/>
      <c r="DU378" s="36"/>
      <c r="DV378" s="36"/>
      <c r="DW378" s="36"/>
      <c r="DX378" s="36"/>
      <c r="DY378" s="36"/>
      <c r="DZ378" s="36"/>
      <c r="EA378" s="36"/>
      <c r="EB378" s="36"/>
      <c r="EC378" s="36"/>
      <c r="ED378" s="36"/>
      <c r="EE378" s="36"/>
      <c r="EF378" s="36"/>
      <c r="EG378" s="36"/>
    </row>
    <row r="379" spans="1:137" s="364" customFormat="1" ht="15">
      <c r="A379" s="1135" t="s">
        <v>134</v>
      </c>
      <c r="B379" s="1204" t="s">
        <v>2842</v>
      </c>
      <c r="C379" s="742" t="s">
        <v>8</v>
      </c>
      <c r="D379" s="1229">
        <v>50867.6</v>
      </c>
      <c r="E379" s="1189">
        <f>SUM(E380:E383)</f>
        <v>48728.745000000003</v>
      </c>
      <c r="F379" s="1189">
        <f>SUM(F380:F383)</f>
        <v>48728.745000000003</v>
      </c>
      <c r="G379" s="1152">
        <f t="shared" ref="G379:G380" si="64">F379/D379</f>
        <v>0.95795250807979937</v>
      </c>
      <c r="H379" s="1207" t="s">
        <v>2974</v>
      </c>
      <c r="I379" s="1207" t="s">
        <v>3100</v>
      </c>
      <c r="J379" s="1260" t="s">
        <v>2955</v>
      </c>
      <c r="K379" s="1136" t="s">
        <v>2817</v>
      </c>
      <c r="L379" s="1136"/>
      <c r="M379" s="1156">
        <v>823</v>
      </c>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6"/>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c r="EA379" s="36"/>
      <c r="EB379" s="36"/>
      <c r="EC379" s="36"/>
      <c r="ED379" s="36"/>
      <c r="EE379" s="36"/>
      <c r="EF379" s="36"/>
      <c r="EG379" s="36"/>
    </row>
    <row r="380" spans="1:137" s="364" customFormat="1" ht="15">
      <c r="A380" s="1140"/>
      <c r="B380" s="1313"/>
      <c r="C380" s="742" t="s">
        <v>9</v>
      </c>
      <c r="D380" s="1162">
        <v>50867.6</v>
      </c>
      <c r="E380" s="1189">
        <v>48728.745000000003</v>
      </c>
      <c r="F380" s="1189">
        <v>48728.745000000003</v>
      </c>
      <c r="G380" s="1152">
        <f t="shared" si="64"/>
        <v>0.95795250807979937</v>
      </c>
      <c r="H380" s="1234"/>
      <c r="I380" s="1234"/>
      <c r="J380" s="1263"/>
      <c r="K380" s="1141"/>
      <c r="L380" s="1141"/>
      <c r="M380" s="1159"/>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6"/>
      <c r="CU380" s="36"/>
      <c r="CV380" s="36"/>
      <c r="CW380" s="36"/>
      <c r="CX380" s="36"/>
      <c r="CY380" s="36"/>
      <c r="CZ380" s="36"/>
      <c r="DA380" s="36"/>
      <c r="DB380" s="36"/>
      <c r="DC380" s="36"/>
      <c r="DD380" s="36"/>
      <c r="DE380" s="36"/>
      <c r="DF380" s="36"/>
      <c r="DG380" s="36"/>
      <c r="DH380" s="36"/>
      <c r="DI380" s="36"/>
      <c r="DJ380" s="36"/>
      <c r="DK380" s="36"/>
      <c r="DL380" s="36"/>
      <c r="DM380" s="36"/>
      <c r="DN380" s="36"/>
      <c r="DO380" s="36"/>
      <c r="DP380" s="36"/>
      <c r="DQ380" s="36"/>
      <c r="DR380" s="36"/>
      <c r="DS380" s="36"/>
      <c r="DT380" s="36"/>
      <c r="DU380" s="36"/>
      <c r="DV380" s="36"/>
      <c r="DW380" s="36"/>
      <c r="DX380" s="36"/>
      <c r="DY380" s="36"/>
      <c r="DZ380" s="36"/>
      <c r="EA380" s="36"/>
      <c r="EB380" s="36"/>
      <c r="EC380" s="36"/>
      <c r="ED380" s="36"/>
      <c r="EE380" s="36"/>
      <c r="EF380" s="36"/>
      <c r="EG380" s="36"/>
    </row>
    <row r="381" spans="1:137" s="364" customFormat="1" ht="15">
      <c r="A381" s="1140"/>
      <c r="B381" s="1313"/>
      <c r="C381" s="742" t="s">
        <v>10</v>
      </c>
      <c r="D381" s="1162">
        <v>0</v>
      </c>
      <c r="E381" s="1232">
        <v>0</v>
      </c>
      <c r="F381" s="1232">
        <v>0</v>
      </c>
      <c r="G381" s="1152">
        <v>0</v>
      </c>
      <c r="H381" s="1234"/>
      <c r="I381" s="1234"/>
      <c r="J381" s="1263"/>
      <c r="K381" s="1141"/>
      <c r="L381" s="1141"/>
      <c r="M381" s="1159"/>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6"/>
      <c r="CU381" s="36"/>
      <c r="CV381" s="36"/>
      <c r="CW381" s="36"/>
      <c r="CX381" s="36"/>
      <c r="CY381" s="36"/>
      <c r="CZ381" s="36"/>
      <c r="DA381" s="36"/>
      <c r="DB381" s="36"/>
      <c r="DC381" s="36"/>
      <c r="DD381" s="36"/>
      <c r="DE381" s="36"/>
      <c r="DF381" s="36"/>
      <c r="DG381" s="36"/>
      <c r="DH381" s="36"/>
      <c r="DI381" s="36"/>
      <c r="DJ381" s="36"/>
      <c r="DK381" s="36"/>
      <c r="DL381" s="36"/>
      <c r="DM381" s="36"/>
      <c r="DN381" s="36"/>
      <c r="DO381" s="36"/>
      <c r="DP381" s="36"/>
      <c r="DQ381" s="36"/>
      <c r="DR381" s="36"/>
      <c r="DS381" s="36"/>
      <c r="DT381" s="36"/>
      <c r="DU381" s="36"/>
      <c r="DV381" s="36"/>
      <c r="DW381" s="36"/>
      <c r="DX381" s="36"/>
      <c r="DY381" s="36"/>
      <c r="DZ381" s="36"/>
      <c r="EA381" s="36"/>
      <c r="EB381" s="36"/>
      <c r="EC381" s="36"/>
      <c r="ED381" s="36"/>
      <c r="EE381" s="36"/>
      <c r="EF381" s="36"/>
      <c r="EG381" s="36"/>
    </row>
    <row r="382" spans="1:137" s="364" customFormat="1" ht="15">
      <c r="A382" s="1140"/>
      <c r="B382" s="1313"/>
      <c r="C382" s="742" t="s">
        <v>11</v>
      </c>
      <c r="D382" s="1162">
        <v>0</v>
      </c>
      <c r="E382" s="1232">
        <v>0</v>
      </c>
      <c r="F382" s="1232">
        <v>0</v>
      </c>
      <c r="G382" s="1152">
        <v>0</v>
      </c>
      <c r="H382" s="1234"/>
      <c r="I382" s="1234"/>
      <c r="J382" s="1263"/>
      <c r="K382" s="1141"/>
      <c r="L382" s="1141"/>
      <c r="M382" s="1159"/>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6"/>
      <c r="CU382" s="36"/>
      <c r="CV382" s="36"/>
      <c r="CW382" s="36"/>
      <c r="CX382" s="36"/>
      <c r="CY382" s="36"/>
      <c r="CZ382" s="36"/>
      <c r="DA382" s="36"/>
      <c r="DB382" s="36"/>
      <c r="DC382" s="36"/>
      <c r="DD382" s="36"/>
      <c r="DE382" s="36"/>
      <c r="DF382" s="36"/>
      <c r="DG382" s="36"/>
      <c r="DH382" s="36"/>
      <c r="DI382" s="36"/>
      <c r="DJ382" s="36"/>
      <c r="DK382" s="36"/>
      <c r="DL382" s="36"/>
      <c r="DM382" s="36"/>
      <c r="DN382" s="36"/>
      <c r="DO382" s="36"/>
      <c r="DP382" s="36"/>
      <c r="DQ382" s="36"/>
      <c r="DR382" s="36"/>
      <c r="DS382" s="36"/>
      <c r="DT382" s="36"/>
      <c r="DU382" s="36"/>
      <c r="DV382" s="36"/>
      <c r="DW382" s="36"/>
      <c r="DX382" s="36"/>
      <c r="DY382" s="36"/>
      <c r="DZ382" s="36"/>
      <c r="EA382" s="36"/>
      <c r="EB382" s="36"/>
      <c r="EC382" s="36"/>
      <c r="ED382" s="36"/>
      <c r="EE382" s="36"/>
      <c r="EF382" s="36"/>
      <c r="EG382" s="36"/>
    </row>
    <row r="383" spans="1:137" s="364" customFormat="1" ht="15">
      <c r="A383" s="1160"/>
      <c r="B383" s="1315"/>
      <c r="C383" s="742" t="s">
        <v>12</v>
      </c>
      <c r="D383" s="1162">
        <v>0</v>
      </c>
      <c r="E383" s="1232">
        <v>0</v>
      </c>
      <c r="F383" s="1232">
        <v>0</v>
      </c>
      <c r="G383" s="1152">
        <v>0</v>
      </c>
      <c r="H383" s="1237"/>
      <c r="I383" s="1237"/>
      <c r="J383" s="1265"/>
      <c r="K383" s="1147"/>
      <c r="L383" s="1147"/>
      <c r="M383" s="1165"/>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c r="EA383" s="36"/>
      <c r="EB383" s="36"/>
      <c r="EC383" s="36"/>
      <c r="ED383" s="36"/>
      <c r="EE383" s="36"/>
      <c r="EF383" s="36"/>
      <c r="EG383" s="36"/>
    </row>
    <row r="384" spans="1:137" s="67" customFormat="1">
      <c r="A384" s="1406"/>
      <c r="B384" s="1407"/>
      <c r="C384" s="668"/>
      <c r="D384" s="666"/>
      <c r="E384" s="667"/>
      <c r="F384" s="667"/>
      <c r="G384" s="668"/>
      <c r="H384" s="1408"/>
      <c r="I384" s="65"/>
      <c r="J384" s="66"/>
      <c r="K384" s="1407"/>
      <c r="L384" s="1409"/>
      <c r="M384" s="668"/>
    </row>
    <row r="385" spans="1:13" s="67" customFormat="1">
      <c r="A385" s="1406"/>
      <c r="B385" s="1407"/>
      <c r="C385" s="668"/>
      <c r="D385" s="666"/>
      <c r="E385" s="667"/>
      <c r="F385" s="667"/>
      <c r="G385" s="668"/>
      <c r="H385" s="1408"/>
      <c r="I385" s="65"/>
      <c r="J385" s="66"/>
      <c r="K385" s="1407"/>
      <c r="L385" s="1409"/>
      <c r="M385" s="668"/>
    </row>
    <row r="386" spans="1:13" s="67" customFormat="1">
      <c r="A386" s="1406"/>
      <c r="B386" s="1407"/>
      <c r="C386" s="668"/>
      <c r="D386" s="666"/>
      <c r="E386" s="667"/>
      <c r="F386" s="667"/>
      <c r="G386" s="668"/>
      <c r="H386" s="1408"/>
      <c r="I386" s="65"/>
      <c r="J386" s="66"/>
      <c r="K386" s="1407"/>
      <c r="L386" s="1409"/>
      <c r="M386" s="668"/>
    </row>
    <row r="387" spans="1:13" s="67" customFormat="1">
      <c r="A387" s="1406"/>
      <c r="B387" s="1407"/>
      <c r="C387" s="668"/>
      <c r="D387" s="666"/>
      <c r="E387" s="667"/>
      <c r="F387" s="667"/>
      <c r="G387" s="668"/>
      <c r="H387" s="1408"/>
      <c r="I387" s="65"/>
      <c r="J387" s="66"/>
      <c r="K387" s="1407"/>
      <c r="L387" s="1409"/>
      <c r="M387" s="668"/>
    </row>
    <row r="388" spans="1:13" s="67" customFormat="1">
      <c r="A388" s="1406"/>
      <c r="B388" s="1407"/>
      <c r="C388" s="668"/>
      <c r="D388" s="666"/>
      <c r="E388" s="667"/>
      <c r="F388" s="667"/>
      <c r="G388" s="668"/>
      <c r="H388" s="1408"/>
      <c r="I388" s="65"/>
      <c r="J388" s="66"/>
      <c r="K388" s="1407"/>
      <c r="L388" s="1409"/>
      <c r="M388" s="668"/>
    </row>
    <row r="389" spans="1:13" s="67" customFormat="1">
      <c r="A389" s="1406"/>
      <c r="B389" s="1407"/>
      <c r="C389" s="668"/>
      <c r="D389" s="666"/>
      <c r="E389" s="667"/>
      <c r="F389" s="667"/>
      <c r="G389" s="668"/>
      <c r="H389" s="1408"/>
      <c r="I389" s="65"/>
      <c r="J389" s="66"/>
      <c r="K389" s="1407"/>
      <c r="L389" s="1409"/>
      <c r="M389" s="668"/>
    </row>
    <row r="390" spans="1:13" s="67" customFormat="1">
      <c r="A390" s="1406"/>
      <c r="B390" s="1407"/>
      <c r="C390" s="668"/>
      <c r="D390" s="666"/>
      <c r="E390" s="667"/>
      <c r="F390" s="667"/>
      <c r="G390" s="668"/>
      <c r="H390" s="1408"/>
      <c r="I390" s="65"/>
      <c r="J390" s="66"/>
      <c r="K390" s="1407"/>
      <c r="L390" s="1409"/>
      <c r="M390" s="668"/>
    </row>
    <row r="391" spans="1:13" s="67" customFormat="1">
      <c r="A391" s="1406"/>
      <c r="B391" s="1407"/>
      <c r="C391" s="668"/>
      <c r="D391" s="666"/>
      <c r="E391" s="667"/>
      <c r="F391" s="667"/>
      <c r="G391" s="668"/>
      <c r="H391" s="1408"/>
      <c r="I391" s="65"/>
      <c r="J391" s="66"/>
      <c r="K391" s="1407"/>
      <c r="L391" s="1409"/>
      <c r="M391" s="668"/>
    </row>
    <row r="392" spans="1:13" s="67" customFormat="1">
      <c r="A392" s="1406"/>
      <c r="B392" s="1407"/>
      <c r="C392" s="668"/>
      <c r="D392" s="666"/>
      <c r="E392" s="667"/>
      <c r="F392" s="667"/>
      <c r="G392" s="668"/>
      <c r="H392" s="1408"/>
      <c r="I392" s="65"/>
      <c r="J392" s="66"/>
      <c r="K392" s="1407"/>
      <c r="L392" s="1409"/>
      <c r="M392" s="668"/>
    </row>
    <row r="393" spans="1:13" s="67" customFormat="1">
      <c r="A393" s="1406"/>
      <c r="B393" s="1407"/>
      <c r="C393" s="668"/>
      <c r="D393" s="666"/>
      <c r="E393" s="667"/>
      <c r="F393" s="667"/>
      <c r="G393" s="668"/>
      <c r="H393" s="1408"/>
      <c r="I393" s="65"/>
      <c r="J393" s="66"/>
      <c r="K393" s="1407"/>
      <c r="L393" s="1409"/>
      <c r="M393" s="668"/>
    </row>
    <row r="394" spans="1:13" s="67" customFormat="1">
      <c r="A394" s="1406"/>
      <c r="B394" s="1407"/>
      <c r="C394" s="668"/>
      <c r="D394" s="666"/>
      <c r="E394" s="667"/>
      <c r="F394" s="667"/>
      <c r="G394" s="668"/>
      <c r="H394" s="1408"/>
      <c r="I394" s="65"/>
      <c r="J394" s="66"/>
      <c r="K394" s="1407"/>
      <c r="L394" s="1409"/>
      <c r="M394" s="668"/>
    </row>
    <row r="395" spans="1:13" s="67" customFormat="1">
      <c r="A395" s="1406"/>
      <c r="B395" s="1407"/>
      <c r="C395" s="668"/>
      <c r="D395" s="666"/>
      <c r="E395" s="667"/>
      <c r="F395" s="667"/>
      <c r="G395" s="668"/>
      <c r="H395" s="1408"/>
      <c r="I395" s="65"/>
      <c r="J395" s="66"/>
      <c r="K395" s="1407"/>
      <c r="L395" s="1409"/>
      <c r="M395" s="668"/>
    </row>
    <row r="396" spans="1:13" s="67" customFormat="1">
      <c r="A396" s="1406"/>
      <c r="B396" s="1407"/>
      <c r="C396" s="668"/>
      <c r="D396" s="666"/>
      <c r="E396" s="667"/>
      <c r="F396" s="667"/>
      <c r="G396" s="668"/>
      <c r="H396" s="1408"/>
      <c r="I396" s="65"/>
      <c r="J396" s="66"/>
      <c r="K396" s="1407"/>
      <c r="L396" s="1409"/>
      <c r="M396" s="668"/>
    </row>
    <row r="397" spans="1:13" s="67" customFormat="1">
      <c r="A397" s="1406"/>
      <c r="B397" s="1407"/>
      <c r="C397" s="668"/>
      <c r="D397" s="666"/>
      <c r="E397" s="667"/>
      <c r="F397" s="667"/>
      <c r="G397" s="668"/>
      <c r="H397" s="1408"/>
      <c r="I397" s="65"/>
      <c r="J397" s="66"/>
      <c r="K397" s="1407"/>
      <c r="L397" s="1409"/>
      <c r="M397" s="668"/>
    </row>
    <row r="398" spans="1:13" s="67" customFormat="1">
      <c r="A398" s="1406"/>
      <c r="B398" s="1407"/>
      <c r="C398" s="668"/>
      <c r="D398" s="666"/>
      <c r="E398" s="667"/>
      <c r="F398" s="667"/>
      <c r="G398" s="668"/>
      <c r="H398" s="1408"/>
      <c r="I398" s="65"/>
      <c r="J398" s="66"/>
      <c r="K398" s="1407"/>
      <c r="L398" s="1409"/>
      <c r="M398" s="668"/>
    </row>
    <row r="399" spans="1:13" s="67" customFormat="1">
      <c r="A399" s="1406"/>
      <c r="B399" s="1407"/>
      <c r="C399" s="668"/>
      <c r="D399" s="666"/>
      <c r="E399" s="667"/>
      <c r="F399" s="667"/>
      <c r="G399" s="668"/>
      <c r="H399" s="1408"/>
      <c r="I399" s="65"/>
      <c r="J399" s="66"/>
      <c r="K399" s="1407"/>
      <c r="L399" s="1409"/>
      <c r="M399" s="668"/>
    </row>
    <row r="400" spans="1:13" s="67" customFormat="1">
      <c r="A400" s="1406"/>
      <c r="B400" s="1407"/>
      <c r="C400" s="668"/>
      <c r="D400" s="666"/>
      <c r="E400" s="667"/>
      <c r="F400" s="667"/>
      <c r="G400" s="668"/>
      <c r="H400" s="1408"/>
      <c r="I400" s="65"/>
      <c r="J400" s="66"/>
      <c r="K400" s="1407"/>
      <c r="L400" s="1409"/>
      <c r="M400" s="668"/>
    </row>
    <row r="401" spans="1:13" s="67" customFormat="1">
      <c r="A401" s="1406"/>
      <c r="B401" s="1407"/>
      <c r="C401" s="668"/>
      <c r="D401" s="666"/>
      <c r="E401" s="667"/>
      <c r="F401" s="667"/>
      <c r="G401" s="668"/>
      <c r="H401" s="1408"/>
      <c r="I401" s="65"/>
      <c r="J401" s="66"/>
      <c r="K401" s="1407"/>
      <c r="L401" s="1409"/>
      <c r="M401" s="668"/>
    </row>
    <row r="402" spans="1:13" s="67" customFormat="1">
      <c r="A402" s="1406"/>
      <c r="B402" s="1407"/>
      <c r="C402" s="668"/>
      <c r="D402" s="666"/>
      <c r="E402" s="667"/>
      <c r="F402" s="667"/>
      <c r="G402" s="668"/>
      <c r="H402" s="1408"/>
      <c r="I402" s="65"/>
      <c r="J402" s="66"/>
      <c r="K402" s="1407"/>
      <c r="L402" s="1409"/>
      <c r="M402" s="668"/>
    </row>
    <row r="403" spans="1:13" s="67" customFormat="1">
      <c r="A403" s="1406"/>
      <c r="B403" s="1407"/>
      <c r="C403" s="668"/>
      <c r="D403" s="666"/>
      <c r="E403" s="667"/>
      <c r="F403" s="667"/>
      <c r="G403" s="668"/>
      <c r="H403" s="1408"/>
      <c r="I403" s="65"/>
      <c r="J403" s="66"/>
      <c r="K403" s="1407"/>
      <c r="L403" s="1409"/>
      <c r="M403" s="668"/>
    </row>
    <row r="404" spans="1:13" s="67" customFormat="1">
      <c r="A404" s="1406"/>
      <c r="B404" s="1407"/>
      <c r="C404" s="668"/>
      <c r="D404" s="666"/>
      <c r="E404" s="667"/>
      <c r="F404" s="667"/>
      <c r="G404" s="668"/>
      <c r="H404" s="1408"/>
      <c r="I404" s="65"/>
      <c r="J404" s="66"/>
      <c r="K404" s="1407"/>
      <c r="L404" s="1409"/>
      <c r="M404" s="668"/>
    </row>
    <row r="405" spans="1:13" s="67" customFormat="1">
      <c r="A405" s="1406"/>
      <c r="B405" s="1407"/>
      <c r="C405" s="668"/>
      <c r="D405" s="666"/>
      <c r="E405" s="667"/>
      <c r="F405" s="667"/>
      <c r="G405" s="668"/>
      <c r="H405" s="1408"/>
      <c r="I405" s="65"/>
      <c r="J405" s="66"/>
      <c r="K405" s="1407"/>
      <c r="L405" s="1409"/>
      <c r="M405" s="668"/>
    </row>
    <row r="406" spans="1:13" s="67" customFormat="1">
      <c r="A406" s="1406"/>
      <c r="B406" s="1407"/>
      <c r="C406" s="668"/>
      <c r="D406" s="666"/>
      <c r="E406" s="667"/>
      <c r="F406" s="667"/>
      <c r="G406" s="668"/>
      <c r="H406" s="1408"/>
      <c r="I406" s="65"/>
      <c r="J406" s="66"/>
      <c r="K406" s="1407"/>
      <c r="L406" s="1409"/>
      <c r="M406" s="668"/>
    </row>
    <row r="407" spans="1:13" s="67" customFormat="1">
      <c r="A407" s="1406"/>
      <c r="B407" s="1407"/>
      <c r="C407" s="668"/>
      <c r="D407" s="666"/>
      <c r="E407" s="667"/>
      <c r="F407" s="667"/>
      <c r="G407" s="668"/>
      <c r="H407" s="1408"/>
      <c r="I407" s="65"/>
      <c r="J407" s="66"/>
      <c r="K407" s="1407"/>
      <c r="L407" s="1409"/>
      <c r="M407" s="668"/>
    </row>
    <row r="408" spans="1:13" s="67" customFormat="1">
      <c r="A408" s="1406"/>
      <c r="B408" s="1407"/>
      <c r="C408" s="668"/>
      <c r="D408" s="666"/>
      <c r="E408" s="667"/>
      <c r="F408" s="667"/>
      <c r="G408" s="668"/>
      <c r="H408" s="1408"/>
      <c r="I408" s="65"/>
      <c r="J408" s="66"/>
      <c r="K408" s="1407"/>
      <c r="L408" s="1409"/>
      <c r="M408" s="668"/>
    </row>
    <row r="409" spans="1:13" s="67" customFormat="1">
      <c r="A409" s="1406"/>
      <c r="B409" s="1407"/>
      <c r="C409" s="668"/>
      <c r="D409" s="666"/>
      <c r="E409" s="667"/>
      <c r="F409" s="667"/>
      <c r="G409" s="668"/>
      <c r="H409" s="1408"/>
      <c r="I409" s="65"/>
      <c r="J409" s="66"/>
      <c r="K409" s="1407"/>
      <c r="L409" s="1409"/>
      <c r="M409" s="668"/>
    </row>
    <row r="410" spans="1:13" s="67" customFormat="1">
      <c r="A410" s="1406"/>
      <c r="B410" s="1407"/>
      <c r="C410" s="668"/>
      <c r="D410" s="666"/>
      <c r="E410" s="667"/>
      <c r="F410" s="667"/>
      <c r="G410" s="668"/>
      <c r="H410" s="1408"/>
      <c r="I410" s="65"/>
      <c r="J410" s="66"/>
      <c r="K410" s="1407"/>
      <c r="L410" s="1409"/>
      <c r="M410" s="668"/>
    </row>
    <row r="411" spans="1:13" s="67" customFormat="1">
      <c r="A411" s="1406"/>
      <c r="B411" s="1407"/>
      <c r="C411" s="668"/>
      <c r="D411" s="666"/>
      <c r="E411" s="667"/>
      <c r="F411" s="667"/>
      <c r="G411" s="668"/>
      <c r="H411" s="1408"/>
      <c r="I411" s="65"/>
      <c r="J411" s="66"/>
      <c r="K411" s="1407"/>
      <c r="L411" s="1409"/>
      <c r="M411" s="668"/>
    </row>
    <row r="412" spans="1:13" s="67" customFormat="1">
      <c r="A412" s="1406"/>
      <c r="B412" s="1407"/>
      <c r="C412" s="668"/>
      <c r="D412" s="666"/>
      <c r="E412" s="667"/>
      <c r="F412" s="667"/>
      <c r="G412" s="668"/>
      <c r="H412" s="1408"/>
      <c r="I412" s="65"/>
      <c r="J412" s="66"/>
      <c r="K412" s="1407"/>
      <c r="L412" s="1409"/>
      <c r="M412" s="668"/>
    </row>
    <row r="413" spans="1:13" s="67" customFormat="1">
      <c r="A413" s="1406"/>
      <c r="B413" s="1407"/>
      <c r="C413" s="668"/>
      <c r="D413" s="666"/>
      <c r="E413" s="667"/>
      <c r="F413" s="667"/>
      <c r="G413" s="668"/>
      <c r="H413" s="1408"/>
      <c r="I413" s="65"/>
      <c r="J413" s="66"/>
      <c r="K413" s="1407"/>
      <c r="L413" s="1409"/>
      <c r="M413" s="668"/>
    </row>
    <row r="414" spans="1:13" s="67" customFormat="1">
      <c r="A414" s="1406"/>
      <c r="B414" s="1407"/>
      <c r="C414" s="668"/>
      <c r="D414" s="666"/>
      <c r="E414" s="667"/>
      <c r="F414" s="667"/>
      <c r="G414" s="668"/>
      <c r="H414" s="1408"/>
      <c r="I414" s="65"/>
      <c r="J414" s="66"/>
      <c r="K414" s="1407"/>
      <c r="L414" s="1409"/>
      <c r="M414" s="668"/>
    </row>
    <row r="415" spans="1:13" s="67" customFormat="1">
      <c r="A415" s="1406"/>
      <c r="B415" s="1407"/>
      <c r="C415" s="668"/>
      <c r="D415" s="666"/>
      <c r="E415" s="667"/>
      <c r="F415" s="667"/>
      <c r="G415" s="668"/>
      <c r="H415" s="1408"/>
      <c r="I415" s="65"/>
      <c r="J415" s="66"/>
      <c r="K415" s="1407"/>
      <c r="L415" s="1409"/>
      <c r="M415" s="668"/>
    </row>
    <row r="416" spans="1:13" s="67" customFormat="1">
      <c r="A416" s="1406"/>
      <c r="B416" s="1407"/>
      <c r="C416" s="668"/>
      <c r="D416" s="666"/>
      <c r="E416" s="667"/>
      <c r="F416" s="667"/>
      <c r="G416" s="668"/>
      <c r="H416" s="1408"/>
      <c r="I416" s="65"/>
      <c r="J416" s="66"/>
      <c r="K416" s="1407"/>
      <c r="L416" s="1409"/>
      <c r="M416" s="668"/>
    </row>
    <row r="417" spans="1:13" s="67" customFormat="1">
      <c r="A417" s="1406"/>
      <c r="B417" s="1407"/>
      <c r="C417" s="668"/>
      <c r="D417" s="666"/>
      <c r="E417" s="667"/>
      <c r="F417" s="667"/>
      <c r="G417" s="668"/>
      <c r="H417" s="1408"/>
      <c r="I417" s="65"/>
      <c r="J417" s="66"/>
      <c r="K417" s="1407"/>
      <c r="L417" s="1409"/>
      <c r="M417" s="668"/>
    </row>
    <row r="418" spans="1:13" s="67" customFormat="1">
      <c r="A418" s="1406"/>
      <c r="B418" s="1407"/>
      <c r="C418" s="668"/>
      <c r="D418" s="666"/>
      <c r="E418" s="667"/>
      <c r="F418" s="667"/>
      <c r="G418" s="668"/>
      <c r="H418" s="1408"/>
      <c r="I418" s="65"/>
      <c r="J418" s="66"/>
      <c r="K418" s="1407"/>
      <c r="L418" s="1409"/>
      <c r="M418" s="668"/>
    </row>
    <row r="419" spans="1:13" s="67" customFormat="1">
      <c r="A419" s="1406"/>
      <c r="B419" s="1407"/>
      <c r="C419" s="668"/>
      <c r="D419" s="666"/>
      <c r="E419" s="667"/>
      <c r="F419" s="667"/>
      <c r="G419" s="668"/>
      <c r="H419" s="1408"/>
      <c r="I419" s="65"/>
      <c r="J419" s="66"/>
      <c r="K419" s="1407"/>
      <c r="L419" s="1409"/>
      <c r="M419" s="668"/>
    </row>
    <row r="420" spans="1:13" s="67" customFormat="1">
      <c r="A420" s="1406"/>
      <c r="B420" s="1407"/>
      <c r="C420" s="668"/>
      <c r="D420" s="666"/>
      <c r="E420" s="667"/>
      <c r="F420" s="667"/>
      <c r="G420" s="668"/>
      <c r="H420" s="1408"/>
      <c r="I420" s="65"/>
      <c r="J420" s="66"/>
      <c r="K420" s="1407"/>
      <c r="L420" s="1409"/>
      <c r="M420" s="668"/>
    </row>
    <row r="421" spans="1:13" s="67" customFormat="1">
      <c r="A421" s="1406"/>
      <c r="B421" s="1407"/>
      <c r="C421" s="668"/>
      <c r="D421" s="666"/>
      <c r="E421" s="667"/>
      <c r="F421" s="667"/>
      <c r="G421" s="668"/>
      <c r="H421" s="1408"/>
      <c r="I421" s="65"/>
      <c r="J421" s="66"/>
      <c r="K421" s="1407"/>
      <c r="L421" s="1409"/>
      <c r="M421" s="668"/>
    </row>
    <row r="422" spans="1:13" s="67" customFormat="1">
      <c r="A422" s="1406"/>
      <c r="B422" s="1407"/>
      <c r="C422" s="668"/>
      <c r="D422" s="666"/>
      <c r="E422" s="667"/>
      <c r="F422" s="667"/>
      <c r="G422" s="668"/>
      <c r="H422" s="1408"/>
      <c r="I422" s="65"/>
      <c r="J422" s="66"/>
      <c r="K422" s="1407"/>
      <c r="L422" s="1409"/>
      <c r="M422" s="668"/>
    </row>
    <row r="423" spans="1:13" s="67" customFormat="1">
      <c r="A423" s="1406"/>
      <c r="B423" s="1407"/>
      <c r="C423" s="668"/>
      <c r="D423" s="666"/>
      <c r="E423" s="667"/>
      <c r="F423" s="667"/>
      <c r="G423" s="668"/>
      <c r="H423" s="1408"/>
      <c r="I423" s="65"/>
      <c r="J423" s="66"/>
      <c r="K423" s="1407"/>
      <c r="L423" s="1409"/>
      <c r="M423" s="668"/>
    </row>
    <row r="424" spans="1:13" s="67" customFormat="1">
      <c r="A424" s="1406"/>
      <c r="B424" s="1407"/>
      <c r="C424" s="668"/>
      <c r="D424" s="666"/>
      <c r="E424" s="667"/>
      <c r="F424" s="667"/>
      <c r="G424" s="668"/>
      <c r="H424" s="1408"/>
      <c r="I424" s="65"/>
      <c r="J424" s="66"/>
      <c r="K424" s="1407"/>
      <c r="L424" s="1409"/>
      <c r="M424" s="668"/>
    </row>
    <row r="425" spans="1:13" s="67" customFormat="1">
      <c r="A425" s="1406"/>
      <c r="B425" s="1407"/>
      <c r="C425" s="668"/>
      <c r="D425" s="666"/>
      <c r="E425" s="667"/>
      <c r="F425" s="667"/>
      <c r="G425" s="668"/>
      <c r="H425" s="1408"/>
      <c r="I425" s="65"/>
      <c r="J425" s="66"/>
      <c r="K425" s="1407"/>
      <c r="L425" s="1409"/>
      <c r="M425" s="668"/>
    </row>
    <row r="426" spans="1:13" s="67" customFormat="1">
      <c r="A426" s="1406"/>
      <c r="B426" s="1407"/>
      <c r="C426" s="668"/>
      <c r="D426" s="666"/>
      <c r="E426" s="667"/>
      <c r="F426" s="667"/>
      <c r="G426" s="668"/>
      <c r="H426" s="1408"/>
      <c r="I426" s="65"/>
      <c r="J426" s="66"/>
      <c r="K426" s="1407"/>
      <c r="L426" s="1409"/>
      <c r="M426" s="668"/>
    </row>
    <row r="427" spans="1:13" s="67" customFormat="1">
      <c r="A427" s="1406"/>
      <c r="B427" s="1407"/>
      <c r="C427" s="668"/>
      <c r="D427" s="666"/>
      <c r="E427" s="667"/>
      <c r="F427" s="667"/>
      <c r="G427" s="668"/>
      <c r="H427" s="1408"/>
      <c r="I427" s="65"/>
      <c r="J427" s="66"/>
      <c r="K427" s="1407"/>
      <c r="L427" s="1409"/>
      <c r="M427" s="668"/>
    </row>
    <row r="428" spans="1:13" s="67" customFormat="1">
      <c r="A428" s="1406"/>
      <c r="B428" s="1407"/>
      <c r="C428" s="668"/>
      <c r="D428" s="666"/>
      <c r="E428" s="667"/>
      <c r="F428" s="667"/>
      <c r="G428" s="668"/>
      <c r="H428" s="1408"/>
      <c r="I428" s="65"/>
      <c r="J428" s="66"/>
      <c r="K428" s="1407"/>
      <c r="L428" s="1409"/>
      <c r="M428" s="668"/>
    </row>
    <row r="429" spans="1:13" s="67" customFormat="1">
      <c r="A429" s="1406"/>
      <c r="B429" s="1407"/>
      <c r="C429" s="668"/>
      <c r="D429" s="666"/>
      <c r="E429" s="667"/>
      <c r="F429" s="667"/>
      <c r="G429" s="668"/>
      <c r="H429" s="1408"/>
      <c r="I429" s="65"/>
      <c r="J429" s="66"/>
      <c r="K429" s="1407"/>
      <c r="L429" s="1409"/>
      <c r="M429" s="668"/>
    </row>
    <row r="430" spans="1:13" s="67" customFormat="1">
      <c r="A430" s="1406"/>
      <c r="B430" s="1407"/>
      <c r="C430" s="668"/>
      <c r="D430" s="666"/>
      <c r="E430" s="667"/>
      <c r="F430" s="667"/>
      <c r="G430" s="668"/>
      <c r="H430" s="1408"/>
      <c r="I430" s="65"/>
      <c r="J430" s="66"/>
      <c r="K430" s="1407"/>
      <c r="L430" s="1409"/>
      <c r="M430" s="668"/>
    </row>
    <row r="431" spans="1:13" s="67" customFormat="1">
      <c r="A431" s="1406"/>
      <c r="B431" s="1407"/>
      <c r="C431" s="668"/>
      <c r="D431" s="666"/>
      <c r="E431" s="667"/>
      <c r="F431" s="667"/>
      <c r="G431" s="668"/>
      <c r="H431" s="1408"/>
      <c r="I431" s="65"/>
      <c r="J431" s="66"/>
      <c r="K431" s="1407"/>
      <c r="L431" s="1409"/>
      <c r="M431" s="668"/>
    </row>
    <row r="432" spans="1:13" s="67" customFormat="1">
      <c r="A432" s="1406"/>
      <c r="B432" s="1407"/>
      <c r="C432" s="668"/>
      <c r="D432" s="666"/>
      <c r="E432" s="667"/>
      <c r="F432" s="667"/>
      <c r="G432" s="668"/>
      <c r="H432" s="1408"/>
      <c r="I432" s="65"/>
      <c r="J432" s="66"/>
      <c r="K432" s="1407"/>
      <c r="L432" s="1409"/>
      <c r="M432" s="668"/>
    </row>
    <row r="433" spans="1:13" s="67" customFormat="1">
      <c r="A433" s="1406"/>
      <c r="B433" s="1407"/>
      <c r="C433" s="668"/>
      <c r="D433" s="666"/>
      <c r="E433" s="667"/>
      <c r="F433" s="667"/>
      <c r="G433" s="668"/>
      <c r="H433" s="1408"/>
      <c r="I433" s="65"/>
      <c r="J433" s="66"/>
      <c r="K433" s="1407"/>
      <c r="L433" s="1409"/>
      <c r="M433" s="668"/>
    </row>
    <row r="434" spans="1:13" s="67" customFormat="1">
      <c r="A434" s="1406"/>
      <c r="B434" s="1407"/>
      <c r="C434" s="668"/>
      <c r="D434" s="666"/>
      <c r="E434" s="667"/>
      <c r="F434" s="667"/>
      <c r="G434" s="668"/>
      <c r="H434" s="1408"/>
      <c r="I434" s="65"/>
      <c r="J434" s="66"/>
      <c r="K434" s="1407"/>
      <c r="L434" s="1409"/>
      <c r="M434" s="668"/>
    </row>
    <row r="435" spans="1:13" s="67" customFormat="1">
      <c r="A435" s="1406"/>
      <c r="B435" s="1407"/>
      <c r="C435" s="668"/>
      <c r="D435" s="666"/>
      <c r="E435" s="667"/>
      <c r="F435" s="667"/>
      <c r="G435" s="668"/>
      <c r="H435" s="1408"/>
      <c r="I435" s="65"/>
      <c r="J435" s="66"/>
      <c r="K435" s="1407"/>
      <c r="L435" s="1409"/>
      <c r="M435" s="668"/>
    </row>
    <row r="436" spans="1:13" s="67" customFormat="1">
      <c r="A436" s="1406"/>
      <c r="B436" s="1407"/>
      <c r="C436" s="668"/>
      <c r="D436" s="666"/>
      <c r="E436" s="667"/>
      <c r="F436" s="667"/>
      <c r="G436" s="668"/>
      <c r="H436" s="1408"/>
      <c r="I436" s="65"/>
      <c r="J436" s="66"/>
      <c r="K436" s="1407"/>
      <c r="L436" s="1409"/>
      <c r="M436" s="668"/>
    </row>
    <row r="437" spans="1:13" s="67" customFormat="1">
      <c r="A437" s="1406"/>
      <c r="B437" s="1407"/>
      <c r="C437" s="668"/>
      <c r="D437" s="666"/>
      <c r="E437" s="667"/>
      <c r="F437" s="667"/>
      <c r="G437" s="668"/>
      <c r="H437" s="1408"/>
      <c r="I437" s="65"/>
      <c r="J437" s="66"/>
      <c r="K437" s="1407"/>
      <c r="L437" s="1409"/>
      <c r="M437" s="668"/>
    </row>
    <row r="438" spans="1:13" s="67" customFormat="1">
      <c r="A438" s="1406"/>
      <c r="B438" s="1407"/>
      <c r="C438" s="668"/>
      <c r="D438" s="666"/>
      <c r="E438" s="667"/>
      <c r="F438" s="667"/>
      <c r="G438" s="668"/>
      <c r="H438" s="1408"/>
      <c r="I438" s="65"/>
      <c r="J438" s="66"/>
      <c r="K438" s="1407"/>
      <c r="L438" s="1409"/>
      <c r="M438" s="668"/>
    </row>
    <row r="439" spans="1:13" s="67" customFormat="1">
      <c r="A439" s="1406"/>
      <c r="B439" s="1407"/>
      <c r="C439" s="668"/>
      <c r="D439" s="666"/>
      <c r="E439" s="667"/>
      <c r="F439" s="667"/>
      <c r="G439" s="668"/>
      <c r="H439" s="1408"/>
      <c r="I439" s="65"/>
      <c r="J439" s="66"/>
      <c r="K439" s="1407"/>
      <c r="L439" s="1409"/>
      <c r="M439" s="668"/>
    </row>
    <row r="440" spans="1:13" s="67" customFormat="1">
      <c r="A440" s="1406"/>
      <c r="B440" s="1407"/>
      <c r="C440" s="668"/>
      <c r="D440" s="666"/>
      <c r="E440" s="667"/>
      <c r="F440" s="667"/>
      <c r="G440" s="668"/>
      <c r="H440" s="1408"/>
      <c r="I440" s="65"/>
      <c r="J440" s="66"/>
      <c r="K440" s="1407"/>
      <c r="L440" s="1409"/>
      <c r="M440" s="668"/>
    </row>
    <row r="441" spans="1:13" s="67" customFormat="1">
      <c r="A441" s="1406"/>
      <c r="B441" s="1407"/>
      <c r="C441" s="668"/>
      <c r="D441" s="666"/>
      <c r="E441" s="667"/>
      <c r="F441" s="667"/>
      <c r="G441" s="668"/>
      <c r="H441" s="1408"/>
      <c r="I441" s="65"/>
      <c r="J441" s="66"/>
      <c r="K441" s="1407"/>
      <c r="L441" s="1409"/>
      <c r="M441" s="668"/>
    </row>
    <row r="442" spans="1:13" s="67" customFormat="1">
      <c r="A442" s="1406"/>
      <c r="B442" s="1407"/>
      <c r="C442" s="668"/>
      <c r="D442" s="666"/>
      <c r="E442" s="667"/>
      <c r="F442" s="667"/>
      <c r="G442" s="668"/>
      <c r="H442" s="1408"/>
      <c r="I442" s="65"/>
      <c r="J442" s="66"/>
      <c r="K442" s="1407"/>
      <c r="L442" s="1409"/>
      <c r="M442" s="668"/>
    </row>
    <row r="443" spans="1:13" s="67" customFormat="1">
      <c r="A443" s="1406"/>
      <c r="B443" s="1407"/>
      <c r="C443" s="668"/>
      <c r="D443" s="666"/>
      <c r="E443" s="667"/>
      <c r="F443" s="667"/>
      <c r="G443" s="668"/>
      <c r="H443" s="1408"/>
      <c r="I443" s="65"/>
      <c r="J443" s="66"/>
      <c r="K443" s="1407"/>
      <c r="L443" s="1409"/>
      <c r="M443" s="668"/>
    </row>
    <row r="444" spans="1:13" s="67" customFormat="1">
      <c r="A444" s="1406"/>
      <c r="B444" s="1407"/>
      <c r="C444" s="668"/>
      <c r="D444" s="666"/>
      <c r="E444" s="667"/>
      <c r="F444" s="667"/>
      <c r="G444" s="668"/>
      <c r="H444" s="1408"/>
      <c r="I444" s="65"/>
      <c r="J444" s="66"/>
      <c r="K444" s="1407"/>
      <c r="L444" s="1409"/>
      <c r="M444" s="668"/>
    </row>
    <row r="445" spans="1:13" s="67" customFormat="1">
      <c r="A445" s="1406"/>
      <c r="B445" s="1407"/>
      <c r="C445" s="668"/>
      <c r="D445" s="666"/>
      <c r="E445" s="667"/>
      <c r="F445" s="667"/>
      <c r="G445" s="668"/>
      <c r="H445" s="1408"/>
      <c r="I445" s="65"/>
      <c r="J445" s="66"/>
      <c r="K445" s="1407"/>
      <c r="L445" s="1409"/>
      <c r="M445" s="668"/>
    </row>
    <row r="446" spans="1:13" s="67" customFormat="1">
      <c r="A446" s="1406"/>
      <c r="B446" s="1407"/>
      <c r="C446" s="668"/>
      <c r="D446" s="666"/>
      <c r="E446" s="667"/>
      <c r="F446" s="667"/>
      <c r="G446" s="668"/>
      <c r="H446" s="1408"/>
      <c r="I446" s="65"/>
      <c r="J446" s="66"/>
      <c r="K446" s="1407"/>
      <c r="L446" s="1409"/>
      <c r="M446" s="668"/>
    </row>
    <row r="447" spans="1:13" s="67" customFormat="1">
      <c r="A447" s="1406"/>
      <c r="B447" s="1407"/>
      <c r="C447" s="668"/>
      <c r="D447" s="666"/>
      <c r="E447" s="667"/>
      <c r="F447" s="667"/>
      <c r="G447" s="668"/>
      <c r="H447" s="1408"/>
      <c r="I447" s="65"/>
      <c r="J447" s="66"/>
      <c r="K447" s="1407"/>
      <c r="L447" s="1409"/>
      <c r="M447" s="668"/>
    </row>
    <row r="448" spans="1:13" s="67" customFormat="1">
      <c r="A448" s="1406"/>
      <c r="B448" s="1407"/>
      <c r="C448" s="668"/>
      <c r="D448" s="666"/>
      <c r="E448" s="667"/>
      <c r="F448" s="667"/>
      <c r="G448" s="668"/>
      <c r="H448" s="1408"/>
      <c r="I448" s="65"/>
      <c r="J448" s="66"/>
      <c r="K448" s="1407"/>
      <c r="L448" s="1409"/>
      <c r="M448" s="668"/>
    </row>
    <row r="449" spans="1:13" s="67" customFormat="1">
      <c r="A449" s="1406"/>
      <c r="B449" s="1407"/>
      <c r="C449" s="668"/>
      <c r="D449" s="666"/>
      <c r="E449" s="667"/>
      <c r="F449" s="667"/>
      <c r="G449" s="668"/>
      <c r="H449" s="1408"/>
      <c r="I449" s="65"/>
      <c r="J449" s="66"/>
      <c r="K449" s="1407"/>
      <c r="L449" s="1409"/>
      <c r="M449" s="668"/>
    </row>
    <row r="450" spans="1:13" s="67" customFormat="1">
      <c r="A450" s="1406"/>
      <c r="B450" s="1407"/>
      <c r="C450" s="668"/>
      <c r="D450" s="666"/>
      <c r="E450" s="667"/>
      <c r="F450" s="667"/>
      <c r="G450" s="668"/>
      <c r="H450" s="1408"/>
      <c r="I450" s="65"/>
      <c r="J450" s="66"/>
      <c r="K450" s="1407"/>
      <c r="L450" s="1409"/>
      <c r="M450" s="668"/>
    </row>
    <row r="451" spans="1:13" s="67" customFormat="1">
      <c r="A451" s="1406"/>
      <c r="B451" s="1407"/>
      <c r="C451" s="668"/>
      <c r="D451" s="666"/>
      <c r="E451" s="667"/>
      <c r="F451" s="667"/>
      <c r="G451" s="668"/>
      <c r="H451" s="1408"/>
      <c r="I451" s="65"/>
      <c r="J451" s="66"/>
      <c r="K451" s="1407"/>
      <c r="L451" s="1409"/>
      <c r="M451" s="668"/>
    </row>
    <row r="452" spans="1:13" s="67" customFormat="1">
      <c r="A452" s="1406"/>
      <c r="B452" s="1407"/>
      <c r="C452" s="668"/>
      <c r="D452" s="666"/>
      <c r="E452" s="667"/>
      <c r="F452" s="667"/>
      <c r="G452" s="668"/>
      <c r="H452" s="1408"/>
      <c r="I452" s="65"/>
      <c r="J452" s="66"/>
      <c r="K452" s="1407"/>
      <c r="L452" s="1409"/>
      <c r="M452" s="668"/>
    </row>
    <row r="453" spans="1:13" s="67" customFormat="1">
      <c r="A453" s="1406"/>
      <c r="B453" s="1407"/>
      <c r="C453" s="668"/>
      <c r="D453" s="666"/>
      <c r="E453" s="667"/>
      <c r="F453" s="667"/>
      <c r="G453" s="668"/>
      <c r="H453" s="1408"/>
      <c r="I453" s="65"/>
      <c r="J453" s="66"/>
      <c r="K453" s="1407"/>
      <c r="L453" s="1409"/>
      <c r="M453" s="668"/>
    </row>
    <row r="454" spans="1:13" s="67" customFormat="1">
      <c r="A454" s="1406"/>
      <c r="B454" s="1407"/>
      <c r="C454" s="668"/>
      <c r="D454" s="666"/>
      <c r="E454" s="667"/>
      <c r="F454" s="667"/>
      <c r="G454" s="668"/>
      <c r="H454" s="1408"/>
      <c r="I454" s="65"/>
      <c r="J454" s="66"/>
      <c r="K454" s="1407"/>
      <c r="L454" s="1409"/>
      <c r="M454" s="668"/>
    </row>
    <row r="455" spans="1:13" s="67" customFormat="1">
      <c r="A455" s="1406"/>
      <c r="B455" s="1407"/>
      <c r="C455" s="668"/>
      <c r="D455" s="666"/>
      <c r="E455" s="667"/>
      <c r="F455" s="667"/>
      <c r="G455" s="668"/>
      <c r="H455" s="1408"/>
      <c r="I455" s="65"/>
      <c r="J455" s="66"/>
      <c r="K455" s="1407"/>
      <c r="L455" s="1409"/>
      <c r="M455" s="668"/>
    </row>
    <row r="456" spans="1:13" s="67" customFormat="1">
      <c r="A456" s="1406"/>
      <c r="B456" s="1407"/>
      <c r="C456" s="668"/>
      <c r="D456" s="666"/>
      <c r="E456" s="667"/>
      <c r="F456" s="667"/>
      <c r="G456" s="668"/>
      <c r="H456" s="1408"/>
      <c r="I456" s="65"/>
      <c r="J456" s="66"/>
      <c r="K456" s="1407"/>
      <c r="L456" s="1409"/>
      <c r="M456" s="668"/>
    </row>
    <row r="457" spans="1:13" s="67" customFormat="1">
      <c r="A457" s="1406"/>
      <c r="B457" s="1407"/>
      <c r="C457" s="668"/>
      <c r="D457" s="666"/>
      <c r="E457" s="667"/>
      <c r="F457" s="667"/>
      <c r="G457" s="668"/>
      <c r="H457" s="1408"/>
      <c r="I457" s="65"/>
      <c r="J457" s="66"/>
      <c r="K457" s="1407"/>
      <c r="L457" s="1409"/>
      <c r="M457" s="668"/>
    </row>
    <row r="458" spans="1:13" s="67" customFormat="1">
      <c r="A458" s="1406"/>
      <c r="B458" s="1407"/>
      <c r="C458" s="668"/>
      <c r="D458" s="666"/>
      <c r="E458" s="667"/>
      <c r="F458" s="667"/>
      <c r="G458" s="668"/>
      <c r="H458" s="1408"/>
      <c r="I458" s="65"/>
      <c r="J458" s="66"/>
      <c r="K458" s="1407"/>
      <c r="L458" s="1409"/>
      <c r="M458" s="668"/>
    </row>
    <row r="459" spans="1:13" s="67" customFormat="1">
      <c r="A459" s="1406"/>
      <c r="B459" s="1407"/>
      <c r="C459" s="668"/>
      <c r="D459" s="666"/>
      <c r="E459" s="667"/>
      <c r="F459" s="667"/>
      <c r="G459" s="668"/>
      <c r="H459" s="1408"/>
      <c r="I459" s="65"/>
      <c r="J459" s="66"/>
      <c r="K459" s="1407"/>
      <c r="L459" s="1409"/>
      <c r="M459" s="668"/>
    </row>
    <row r="460" spans="1:13" s="67" customFormat="1">
      <c r="A460" s="1406"/>
      <c r="B460" s="1407"/>
      <c r="C460" s="668"/>
      <c r="D460" s="666"/>
      <c r="E460" s="667"/>
      <c r="F460" s="667"/>
      <c r="G460" s="668"/>
      <c r="H460" s="1408"/>
      <c r="I460" s="65"/>
      <c r="J460" s="66"/>
      <c r="K460" s="1407"/>
      <c r="L460" s="1409"/>
      <c r="M460" s="668"/>
    </row>
    <row r="461" spans="1:13" s="67" customFormat="1">
      <c r="A461" s="1406"/>
      <c r="B461" s="1407"/>
      <c r="C461" s="668"/>
      <c r="D461" s="666"/>
      <c r="E461" s="667"/>
      <c r="F461" s="667"/>
      <c r="G461" s="668"/>
      <c r="H461" s="1408"/>
      <c r="I461" s="65"/>
      <c r="J461" s="66"/>
      <c r="K461" s="1407"/>
      <c r="L461" s="1409"/>
      <c r="M461" s="668"/>
    </row>
    <row r="462" spans="1:13" s="67" customFormat="1">
      <c r="A462" s="1406"/>
      <c r="B462" s="1407"/>
      <c r="C462" s="668"/>
      <c r="D462" s="666"/>
      <c r="E462" s="667"/>
      <c r="F462" s="667"/>
      <c r="G462" s="668"/>
      <c r="H462" s="1408"/>
      <c r="I462" s="65"/>
      <c r="J462" s="66"/>
      <c r="K462" s="1407"/>
      <c r="L462" s="1409"/>
      <c r="M462" s="668"/>
    </row>
    <row r="463" spans="1:13" s="67" customFormat="1">
      <c r="A463" s="1406"/>
      <c r="B463" s="1407"/>
      <c r="C463" s="668"/>
      <c r="D463" s="666"/>
      <c r="E463" s="667"/>
      <c r="F463" s="667"/>
      <c r="G463" s="668"/>
      <c r="H463" s="1408"/>
      <c r="I463" s="65"/>
      <c r="J463" s="66"/>
      <c r="K463" s="1407"/>
      <c r="L463" s="1409"/>
      <c r="M463" s="668"/>
    </row>
    <row r="464" spans="1:13" s="67" customFormat="1">
      <c r="A464" s="1406"/>
      <c r="B464" s="1407"/>
      <c r="C464" s="668"/>
      <c r="D464" s="666"/>
      <c r="E464" s="667"/>
      <c r="F464" s="667"/>
      <c r="G464" s="668"/>
      <c r="H464" s="1408"/>
      <c r="I464" s="65"/>
      <c r="J464" s="66"/>
      <c r="K464" s="1407"/>
      <c r="L464" s="1409"/>
      <c r="M464" s="668"/>
    </row>
    <row r="465" spans="1:13" s="67" customFormat="1">
      <c r="A465" s="1406"/>
      <c r="B465" s="1407"/>
      <c r="C465" s="668"/>
      <c r="D465" s="666"/>
      <c r="E465" s="667"/>
      <c r="F465" s="667"/>
      <c r="G465" s="668"/>
      <c r="H465" s="1408"/>
      <c r="I465" s="65"/>
      <c r="J465" s="66"/>
      <c r="K465" s="1407"/>
      <c r="L465" s="1409"/>
      <c r="M465" s="668"/>
    </row>
    <row r="466" spans="1:13" s="67" customFormat="1">
      <c r="A466" s="1406"/>
      <c r="B466" s="1407"/>
      <c r="C466" s="668"/>
      <c r="D466" s="666"/>
      <c r="E466" s="667"/>
      <c r="F466" s="667"/>
      <c r="G466" s="668"/>
      <c r="H466" s="1408"/>
      <c r="I466" s="65"/>
      <c r="J466" s="66"/>
      <c r="K466" s="1407"/>
      <c r="L466" s="1409"/>
      <c r="M466" s="668"/>
    </row>
    <row r="467" spans="1:13" s="67" customFormat="1">
      <c r="A467" s="1406"/>
      <c r="B467" s="1407"/>
      <c r="C467" s="668"/>
      <c r="D467" s="666"/>
      <c r="E467" s="667"/>
      <c r="F467" s="667"/>
      <c r="G467" s="668"/>
      <c r="H467" s="1408"/>
      <c r="I467" s="65"/>
      <c r="J467" s="66"/>
      <c r="K467" s="1407"/>
      <c r="L467" s="1409"/>
      <c r="M467" s="668"/>
    </row>
    <row r="468" spans="1:13" s="67" customFormat="1">
      <c r="A468" s="1406"/>
      <c r="B468" s="1407"/>
      <c r="C468" s="668"/>
      <c r="D468" s="666"/>
      <c r="E468" s="667"/>
      <c r="F468" s="667"/>
      <c r="G468" s="668"/>
      <c r="H468" s="1408"/>
      <c r="I468" s="65"/>
      <c r="J468" s="66"/>
      <c r="K468" s="1407"/>
      <c r="L468" s="1409"/>
      <c r="M468" s="668"/>
    </row>
    <row r="469" spans="1:13" s="67" customFormat="1">
      <c r="A469" s="1406"/>
      <c r="B469" s="1407"/>
      <c r="C469" s="668"/>
      <c r="D469" s="666"/>
      <c r="E469" s="667"/>
      <c r="F469" s="667"/>
      <c r="G469" s="668"/>
      <c r="H469" s="1408"/>
      <c r="I469" s="65"/>
      <c r="J469" s="66"/>
      <c r="K469" s="1407"/>
      <c r="L469" s="1409"/>
      <c r="M469" s="668"/>
    </row>
    <row r="470" spans="1:13" s="67" customFormat="1">
      <c r="A470" s="1406"/>
      <c r="B470" s="1407"/>
      <c r="C470" s="668"/>
      <c r="D470" s="666"/>
      <c r="E470" s="667"/>
      <c r="F470" s="667"/>
      <c r="G470" s="668"/>
      <c r="H470" s="1408"/>
      <c r="I470" s="65"/>
      <c r="J470" s="66"/>
      <c r="K470" s="1407"/>
      <c r="L470" s="1409"/>
      <c r="M470" s="668"/>
    </row>
    <row r="471" spans="1:13" s="67" customFormat="1">
      <c r="A471" s="1406"/>
      <c r="B471" s="1407"/>
      <c r="C471" s="668"/>
      <c r="D471" s="666"/>
      <c r="E471" s="667"/>
      <c r="F471" s="667"/>
      <c r="G471" s="668"/>
      <c r="H471" s="1408"/>
      <c r="I471" s="65"/>
      <c r="J471" s="66"/>
      <c r="K471" s="1407"/>
      <c r="L471" s="1409"/>
      <c r="M471" s="668"/>
    </row>
    <row r="472" spans="1:13" s="67" customFormat="1">
      <c r="A472" s="1406"/>
      <c r="B472" s="1407"/>
      <c r="C472" s="668"/>
      <c r="D472" s="666"/>
      <c r="E472" s="667"/>
      <c r="F472" s="667"/>
      <c r="G472" s="668"/>
      <c r="H472" s="1408"/>
      <c r="I472" s="65"/>
      <c r="J472" s="66"/>
      <c r="K472" s="1407"/>
      <c r="L472" s="1409"/>
      <c r="M472" s="668"/>
    </row>
    <row r="473" spans="1:13" s="67" customFormat="1">
      <c r="A473" s="1406"/>
      <c r="B473" s="1407"/>
      <c r="C473" s="668"/>
      <c r="D473" s="666"/>
      <c r="E473" s="667"/>
      <c r="F473" s="667"/>
      <c r="G473" s="668"/>
      <c r="H473" s="1408"/>
      <c r="I473" s="65"/>
      <c r="J473" s="66"/>
      <c r="K473" s="1407"/>
      <c r="L473" s="1409"/>
      <c r="M473" s="668"/>
    </row>
    <row r="474" spans="1:13" s="67" customFormat="1">
      <c r="A474" s="1406"/>
      <c r="B474" s="1407"/>
      <c r="C474" s="668"/>
      <c r="D474" s="666"/>
      <c r="E474" s="667"/>
      <c r="F474" s="667"/>
      <c r="G474" s="668"/>
      <c r="H474" s="1408"/>
      <c r="I474" s="65"/>
      <c r="J474" s="66"/>
      <c r="K474" s="1407"/>
      <c r="L474" s="1409"/>
      <c r="M474" s="668"/>
    </row>
    <row r="475" spans="1:13" s="67" customFormat="1">
      <c r="A475" s="1406"/>
      <c r="B475" s="1407"/>
      <c r="C475" s="668"/>
      <c r="D475" s="666"/>
      <c r="E475" s="667"/>
      <c r="F475" s="667"/>
      <c r="G475" s="668"/>
      <c r="H475" s="1408"/>
      <c r="I475" s="65"/>
      <c r="J475" s="66"/>
      <c r="K475" s="1407"/>
      <c r="L475" s="1409"/>
      <c r="M475" s="668"/>
    </row>
    <row r="476" spans="1:13" s="67" customFormat="1">
      <c r="A476" s="1406"/>
      <c r="B476" s="1407"/>
      <c r="C476" s="668"/>
      <c r="D476" s="666"/>
      <c r="E476" s="667"/>
      <c r="F476" s="667"/>
      <c r="G476" s="668"/>
      <c r="H476" s="1408"/>
      <c r="I476" s="65"/>
      <c r="J476" s="66"/>
      <c r="K476" s="1407"/>
      <c r="L476" s="1409"/>
      <c r="M476" s="668"/>
    </row>
    <row r="477" spans="1:13" s="67" customFormat="1">
      <c r="A477" s="1406"/>
      <c r="B477" s="1407"/>
      <c r="C477" s="668"/>
      <c r="D477" s="666"/>
      <c r="E477" s="667"/>
      <c r="F477" s="667"/>
      <c r="G477" s="668"/>
      <c r="H477" s="1408"/>
      <c r="I477" s="65"/>
      <c r="J477" s="66"/>
      <c r="K477" s="1407"/>
      <c r="L477" s="1409"/>
      <c r="M477" s="668"/>
    </row>
    <row r="478" spans="1:13" s="67" customFormat="1">
      <c r="A478" s="1406"/>
      <c r="B478" s="1407"/>
      <c r="C478" s="668"/>
      <c r="D478" s="666"/>
      <c r="E478" s="667"/>
      <c r="F478" s="667"/>
      <c r="G478" s="668"/>
      <c r="H478" s="1408"/>
      <c r="I478" s="65"/>
      <c r="J478" s="66"/>
      <c r="K478" s="1407"/>
      <c r="L478" s="1409"/>
      <c r="M478" s="668"/>
    </row>
    <row r="479" spans="1:13" s="67" customFormat="1">
      <c r="A479" s="1406"/>
      <c r="B479" s="1407"/>
      <c r="C479" s="668"/>
      <c r="D479" s="666"/>
      <c r="E479" s="667"/>
      <c r="F479" s="667"/>
      <c r="G479" s="668"/>
      <c r="H479" s="1408"/>
      <c r="I479" s="65"/>
      <c r="J479" s="66"/>
      <c r="K479" s="1407"/>
      <c r="L479" s="1409"/>
      <c r="M479" s="668"/>
    </row>
    <row r="480" spans="1:13" s="67" customFormat="1">
      <c r="A480" s="1406"/>
      <c r="B480" s="1407"/>
      <c r="C480" s="668"/>
      <c r="D480" s="666"/>
      <c r="E480" s="667"/>
      <c r="F480" s="667"/>
      <c r="G480" s="668"/>
      <c r="H480" s="1408"/>
      <c r="I480" s="65"/>
      <c r="J480" s="66"/>
      <c r="K480" s="1407"/>
      <c r="L480" s="1409"/>
      <c r="M480" s="668"/>
    </row>
    <row r="481" spans="1:13" s="67" customFormat="1">
      <c r="A481" s="1406"/>
      <c r="B481" s="1407"/>
      <c r="C481" s="668"/>
      <c r="D481" s="666"/>
      <c r="E481" s="667"/>
      <c r="F481" s="667"/>
      <c r="G481" s="668"/>
      <c r="H481" s="1408"/>
      <c r="I481" s="65"/>
      <c r="J481" s="66"/>
      <c r="K481" s="1407"/>
      <c r="L481" s="1409"/>
      <c r="M481" s="668"/>
    </row>
    <row r="482" spans="1:13" s="67" customFormat="1">
      <c r="A482" s="1406"/>
      <c r="B482" s="1407"/>
      <c r="C482" s="668"/>
      <c r="D482" s="666"/>
      <c r="E482" s="667"/>
      <c r="F482" s="667"/>
      <c r="G482" s="668"/>
      <c r="H482" s="1408"/>
      <c r="I482" s="65"/>
      <c r="J482" s="66"/>
      <c r="K482" s="1407"/>
      <c r="L482" s="1409"/>
      <c r="M482" s="668"/>
    </row>
    <row r="483" spans="1:13" s="67" customFormat="1">
      <c r="A483" s="1406"/>
      <c r="B483" s="1407"/>
      <c r="C483" s="668"/>
      <c r="D483" s="666"/>
      <c r="E483" s="667"/>
      <c r="F483" s="667"/>
      <c r="G483" s="668"/>
      <c r="H483" s="1408"/>
      <c r="I483" s="65"/>
      <c r="J483" s="66"/>
      <c r="K483" s="1407"/>
      <c r="L483" s="1409"/>
      <c r="M483" s="668"/>
    </row>
    <row r="484" spans="1:13" s="67" customFormat="1">
      <c r="A484" s="1406"/>
      <c r="B484" s="1407"/>
      <c r="C484" s="668"/>
      <c r="D484" s="666"/>
      <c r="E484" s="667"/>
      <c r="F484" s="667"/>
      <c r="G484" s="668"/>
      <c r="H484" s="1408"/>
      <c r="I484" s="65"/>
      <c r="J484" s="66"/>
      <c r="K484" s="1407"/>
      <c r="L484" s="1409"/>
      <c r="M484" s="668"/>
    </row>
    <row r="485" spans="1:13" s="67" customFormat="1">
      <c r="A485" s="1406"/>
      <c r="B485" s="1407"/>
      <c r="C485" s="668"/>
      <c r="D485" s="666"/>
      <c r="E485" s="667"/>
      <c r="F485" s="667"/>
      <c r="G485" s="668"/>
      <c r="H485" s="1408"/>
      <c r="I485" s="65"/>
      <c r="J485" s="66"/>
      <c r="K485" s="1407"/>
      <c r="L485" s="1409"/>
      <c r="M485" s="668"/>
    </row>
    <row r="486" spans="1:13" s="67" customFormat="1">
      <c r="A486" s="1406"/>
      <c r="B486" s="1407"/>
      <c r="C486" s="668"/>
      <c r="D486" s="666"/>
      <c r="E486" s="667"/>
      <c r="F486" s="667"/>
      <c r="G486" s="668"/>
      <c r="H486" s="1408"/>
      <c r="I486" s="65"/>
      <c r="J486" s="66"/>
      <c r="K486" s="1407"/>
      <c r="L486" s="1409"/>
      <c r="M486" s="668"/>
    </row>
    <row r="487" spans="1:13" s="67" customFormat="1">
      <c r="A487" s="1406"/>
      <c r="B487" s="1407"/>
      <c r="C487" s="668"/>
      <c r="D487" s="666"/>
      <c r="E487" s="667"/>
      <c r="F487" s="667"/>
      <c r="G487" s="668"/>
      <c r="H487" s="1408"/>
      <c r="I487" s="65"/>
      <c r="J487" s="66"/>
      <c r="K487" s="1407"/>
      <c r="L487" s="1409"/>
      <c r="M487" s="668"/>
    </row>
    <row r="488" spans="1:13" s="67" customFormat="1">
      <c r="A488" s="1406"/>
      <c r="B488" s="1407"/>
      <c r="C488" s="668"/>
      <c r="D488" s="666"/>
      <c r="E488" s="667"/>
      <c r="F488" s="667"/>
      <c r="G488" s="668"/>
      <c r="H488" s="1408"/>
      <c r="I488" s="65"/>
      <c r="J488" s="66"/>
      <c r="K488" s="1407"/>
      <c r="L488" s="1409"/>
      <c r="M488" s="668"/>
    </row>
    <row r="489" spans="1:13" s="67" customFormat="1">
      <c r="A489" s="1406"/>
      <c r="B489" s="1407"/>
      <c r="C489" s="668"/>
      <c r="D489" s="666"/>
      <c r="E489" s="667"/>
      <c r="F489" s="667"/>
      <c r="G489" s="668"/>
      <c r="H489" s="1408"/>
      <c r="I489" s="65"/>
      <c r="J489" s="66"/>
      <c r="K489" s="1407"/>
      <c r="L489" s="1409"/>
      <c r="M489" s="668"/>
    </row>
    <row r="490" spans="1:13" s="67" customFormat="1">
      <c r="A490" s="1406"/>
      <c r="B490" s="1407"/>
      <c r="C490" s="668"/>
      <c r="D490" s="666"/>
      <c r="E490" s="667"/>
      <c r="F490" s="667"/>
      <c r="G490" s="668"/>
      <c r="H490" s="1408"/>
      <c r="I490" s="65"/>
      <c r="J490" s="66"/>
      <c r="K490" s="1407"/>
      <c r="L490" s="1409"/>
      <c r="M490" s="668"/>
    </row>
    <row r="491" spans="1:13" s="67" customFormat="1">
      <c r="A491" s="1406"/>
      <c r="B491" s="1407"/>
      <c r="C491" s="668"/>
      <c r="D491" s="666"/>
      <c r="E491" s="667"/>
      <c r="F491" s="667"/>
      <c r="G491" s="668"/>
      <c r="H491" s="1408"/>
      <c r="I491" s="65"/>
      <c r="J491" s="66"/>
      <c r="K491" s="1407"/>
      <c r="L491" s="1409"/>
      <c r="M491" s="668"/>
    </row>
    <row r="492" spans="1:13" s="67" customFormat="1">
      <c r="A492" s="1406"/>
      <c r="B492" s="1407"/>
      <c r="C492" s="668"/>
      <c r="D492" s="666"/>
      <c r="E492" s="667"/>
      <c r="F492" s="667"/>
      <c r="G492" s="668"/>
      <c r="H492" s="1408"/>
      <c r="I492" s="65"/>
      <c r="J492" s="66"/>
      <c r="K492" s="1407"/>
      <c r="L492" s="1409"/>
      <c r="M492" s="668"/>
    </row>
    <row r="493" spans="1:13" s="67" customFormat="1">
      <c r="A493" s="1406"/>
      <c r="B493" s="1407"/>
      <c r="C493" s="668"/>
      <c r="D493" s="666"/>
      <c r="E493" s="667"/>
      <c r="F493" s="667"/>
      <c r="G493" s="668"/>
      <c r="H493" s="1408"/>
      <c r="I493" s="65"/>
      <c r="J493" s="66"/>
      <c r="K493" s="1407"/>
      <c r="L493" s="1409"/>
      <c r="M493" s="668"/>
    </row>
    <row r="494" spans="1:13" s="67" customFormat="1">
      <c r="A494" s="1406"/>
      <c r="B494" s="1407"/>
      <c r="C494" s="668"/>
      <c r="D494" s="666"/>
      <c r="E494" s="667"/>
      <c r="F494" s="667"/>
      <c r="G494" s="668"/>
      <c r="H494" s="1408"/>
      <c r="I494" s="65"/>
      <c r="J494" s="66"/>
      <c r="K494" s="1407"/>
      <c r="L494" s="1409"/>
      <c r="M494" s="668"/>
    </row>
    <row r="495" spans="1:13" s="67" customFormat="1">
      <c r="A495" s="1406"/>
      <c r="B495" s="1407"/>
      <c r="C495" s="668"/>
      <c r="D495" s="666"/>
      <c r="E495" s="667"/>
      <c r="F495" s="667"/>
      <c r="G495" s="668"/>
      <c r="H495" s="1408"/>
      <c r="I495" s="65"/>
      <c r="J495" s="66"/>
      <c r="K495" s="1407"/>
      <c r="L495" s="1409"/>
      <c r="M495" s="668"/>
    </row>
    <row r="496" spans="1:13" s="67" customFormat="1">
      <c r="A496" s="1406"/>
      <c r="B496" s="1407"/>
      <c r="C496" s="668"/>
      <c r="D496" s="666"/>
      <c r="E496" s="667"/>
      <c r="F496" s="667"/>
      <c r="G496" s="668"/>
      <c r="H496" s="1408"/>
      <c r="I496" s="65"/>
      <c r="J496" s="66"/>
      <c r="K496" s="1407"/>
      <c r="L496" s="1409"/>
      <c r="M496" s="668"/>
    </row>
    <row r="497" spans="1:13" s="67" customFormat="1">
      <c r="A497" s="1406"/>
      <c r="B497" s="1407"/>
      <c r="C497" s="668"/>
      <c r="D497" s="666"/>
      <c r="E497" s="667"/>
      <c r="F497" s="667"/>
      <c r="G497" s="668"/>
      <c r="H497" s="1408"/>
      <c r="I497" s="65"/>
      <c r="J497" s="66"/>
      <c r="K497" s="1407"/>
      <c r="L497" s="1409"/>
      <c r="M497" s="668"/>
    </row>
    <row r="498" spans="1:13" s="67" customFormat="1">
      <c r="A498" s="1406"/>
      <c r="B498" s="1407"/>
      <c r="C498" s="668"/>
      <c r="D498" s="666"/>
      <c r="E498" s="667"/>
      <c r="F498" s="667"/>
      <c r="G498" s="668"/>
      <c r="H498" s="1408"/>
      <c r="I498" s="65"/>
      <c r="J498" s="66"/>
      <c r="K498" s="1407"/>
      <c r="L498" s="1409"/>
      <c r="M498" s="668"/>
    </row>
    <row r="499" spans="1:13" s="67" customFormat="1">
      <c r="A499" s="1406"/>
      <c r="B499" s="1407"/>
      <c r="C499" s="668"/>
      <c r="D499" s="666"/>
      <c r="E499" s="667"/>
      <c r="F499" s="667"/>
      <c r="G499" s="668"/>
      <c r="H499" s="1408"/>
      <c r="I499" s="65"/>
      <c r="J499" s="66"/>
      <c r="K499" s="1407"/>
      <c r="L499" s="1409"/>
      <c r="M499" s="668"/>
    </row>
    <row r="500" spans="1:13" s="67" customFormat="1">
      <c r="A500" s="1406"/>
      <c r="B500" s="1407"/>
      <c r="C500" s="668"/>
      <c r="D500" s="666"/>
      <c r="E500" s="667"/>
      <c r="F500" s="667"/>
      <c r="G500" s="668"/>
      <c r="H500" s="1408"/>
      <c r="I500" s="65"/>
      <c r="J500" s="66"/>
      <c r="K500" s="1407"/>
      <c r="L500" s="1409"/>
      <c r="M500" s="668"/>
    </row>
    <row r="501" spans="1:13" s="67" customFormat="1">
      <c r="A501" s="1406"/>
      <c r="B501" s="1407"/>
      <c r="C501" s="668"/>
      <c r="D501" s="666"/>
      <c r="E501" s="667"/>
      <c r="F501" s="667"/>
      <c r="G501" s="668"/>
      <c r="H501" s="1408"/>
      <c r="I501" s="65"/>
      <c r="J501" s="66"/>
      <c r="K501" s="1407"/>
      <c r="L501" s="1409"/>
      <c r="M501" s="668"/>
    </row>
    <row r="502" spans="1:13" s="67" customFormat="1">
      <c r="A502" s="1406"/>
      <c r="B502" s="1407"/>
      <c r="C502" s="668"/>
      <c r="D502" s="666"/>
      <c r="E502" s="667"/>
      <c r="F502" s="667"/>
      <c r="G502" s="668"/>
      <c r="H502" s="1408"/>
      <c r="I502" s="65"/>
      <c r="J502" s="66"/>
      <c r="K502" s="1407"/>
      <c r="L502" s="1409"/>
      <c r="M502" s="668"/>
    </row>
    <row r="503" spans="1:13" s="67" customFormat="1">
      <c r="A503" s="1406"/>
      <c r="B503" s="1407"/>
      <c r="C503" s="668"/>
      <c r="D503" s="666"/>
      <c r="E503" s="667"/>
      <c r="F503" s="667"/>
      <c r="G503" s="668"/>
      <c r="H503" s="1408"/>
      <c r="I503" s="65"/>
      <c r="J503" s="66"/>
      <c r="K503" s="1407"/>
      <c r="L503" s="1409"/>
      <c r="M503" s="668"/>
    </row>
    <row r="504" spans="1:13" s="67" customFormat="1">
      <c r="A504" s="1406"/>
      <c r="B504" s="1407"/>
      <c r="C504" s="668"/>
      <c r="D504" s="666"/>
      <c r="E504" s="667"/>
      <c r="F504" s="667"/>
      <c r="G504" s="668"/>
      <c r="H504" s="1408"/>
      <c r="I504" s="65"/>
      <c r="J504" s="66"/>
      <c r="K504" s="1407"/>
      <c r="L504" s="1409"/>
      <c r="M504" s="668"/>
    </row>
    <row r="505" spans="1:13" s="67" customFormat="1">
      <c r="A505" s="1406"/>
      <c r="B505" s="1407"/>
      <c r="C505" s="668"/>
      <c r="D505" s="666"/>
      <c r="E505" s="667"/>
      <c r="F505" s="667"/>
      <c r="G505" s="668"/>
      <c r="H505" s="1408"/>
      <c r="I505" s="65"/>
      <c r="J505" s="66"/>
      <c r="K505" s="1407"/>
      <c r="L505" s="1409"/>
      <c r="M505" s="668"/>
    </row>
    <row r="506" spans="1:13" s="67" customFormat="1">
      <c r="A506" s="1406"/>
      <c r="B506" s="1407"/>
      <c r="C506" s="668"/>
      <c r="D506" s="666"/>
      <c r="E506" s="667"/>
      <c r="F506" s="667"/>
      <c r="G506" s="668"/>
      <c r="H506" s="1408"/>
      <c r="I506" s="65"/>
      <c r="J506" s="66"/>
      <c r="K506" s="1407"/>
      <c r="L506" s="1409"/>
      <c r="M506" s="668"/>
    </row>
    <row r="507" spans="1:13" s="67" customFormat="1">
      <c r="A507" s="1406"/>
      <c r="B507" s="1407"/>
      <c r="C507" s="668"/>
      <c r="D507" s="666"/>
      <c r="E507" s="667"/>
      <c r="F507" s="667"/>
      <c r="G507" s="668"/>
      <c r="H507" s="1408"/>
      <c r="I507" s="65"/>
      <c r="J507" s="66"/>
      <c r="K507" s="1407"/>
      <c r="L507" s="1409"/>
      <c r="M507" s="668"/>
    </row>
    <row r="508" spans="1:13" s="67" customFormat="1">
      <c r="A508" s="1406"/>
      <c r="B508" s="1407"/>
      <c r="C508" s="668"/>
      <c r="D508" s="666"/>
      <c r="E508" s="667"/>
      <c r="F508" s="667"/>
      <c r="G508" s="668"/>
      <c r="H508" s="1408"/>
      <c r="I508" s="65"/>
      <c r="J508" s="66"/>
      <c r="K508" s="1407"/>
      <c r="L508" s="1409"/>
      <c r="M508" s="668"/>
    </row>
    <row r="509" spans="1:13" s="67" customFormat="1">
      <c r="A509" s="1406"/>
      <c r="B509" s="1407"/>
      <c r="C509" s="668"/>
      <c r="D509" s="666"/>
      <c r="E509" s="667"/>
      <c r="F509" s="667"/>
      <c r="G509" s="668"/>
      <c r="H509" s="1408"/>
      <c r="I509" s="65"/>
      <c r="J509" s="66"/>
      <c r="K509" s="1407"/>
      <c r="L509" s="1409"/>
      <c r="M509" s="668"/>
    </row>
    <row r="510" spans="1:13" s="67" customFormat="1">
      <c r="A510" s="1406"/>
      <c r="B510" s="1407"/>
      <c r="C510" s="668"/>
      <c r="D510" s="666"/>
      <c r="E510" s="667"/>
      <c r="F510" s="667"/>
      <c r="G510" s="668"/>
      <c r="H510" s="1408"/>
      <c r="I510" s="65"/>
      <c r="J510" s="66"/>
      <c r="K510" s="1407"/>
      <c r="L510" s="1409"/>
      <c r="M510" s="668"/>
    </row>
    <row r="511" spans="1:13" s="67" customFormat="1">
      <c r="A511" s="1406"/>
      <c r="B511" s="1407"/>
      <c r="C511" s="668"/>
      <c r="D511" s="666"/>
      <c r="E511" s="667"/>
      <c r="F511" s="667"/>
      <c r="G511" s="668"/>
      <c r="H511" s="1408"/>
      <c r="I511" s="65"/>
      <c r="J511" s="66"/>
      <c r="K511" s="1407"/>
      <c r="L511" s="1409"/>
      <c r="M511" s="668"/>
    </row>
    <row r="512" spans="1:13" s="67" customFormat="1">
      <c r="A512" s="1406"/>
      <c r="B512" s="1407"/>
      <c r="C512" s="668"/>
      <c r="D512" s="666"/>
      <c r="E512" s="667"/>
      <c r="F512" s="667"/>
      <c r="G512" s="668"/>
      <c r="H512" s="1408"/>
      <c r="I512" s="65"/>
      <c r="J512" s="66"/>
      <c r="K512" s="1407"/>
      <c r="L512" s="1409"/>
      <c r="M512" s="668"/>
    </row>
    <row r="513" spans="1:13" s="67" customFormat="1">
      <c r="A513" s="1406"/>
      <c r="B513" s="1407"/>
      <c r="C513" s="668"/>
      <c r="D513" s="666"/>
      <c r="E513" s="667"/>
      <c r="F513" s="667"/>
      <c r="G513" s="668"/>
      <c r="H513" s="1408"/>
      <c r="I513" s="65"/>
      <c r="J513" s="66"/>
      <c r="K513" s="1407"/>
      <c r="L513" s="1409"/>
      <c r="M513" s="668"/>
    </row>
    <row r="514" spans="1:13" s="67" customFormat="1">
      <c r="A514" s="1406"/>
      <c r="B514" s="1407"/>
      <c r="C514" s="668"/>
      <c r="D514" s="666"/>
      <c r="E514" s="667"/>
      <c r="F514" s="667"/>
      <c r="G514" s="668"/>
      <c r="H514" s="1408"/>
      <c r="I514" s="65"/>
      <c r="J514" s="66"/>
      <c r="K514" s="1407"/>
      <c r="L514" s="1409"/>
      <c r="M514" s="668"/>
    </row>
    <row r="515" spans="1:13" s="67" customFormat="1">
      <c r="A515" s="1406"/>
      <c r="B515" s="1407"/>
      <c r="C515" s="668"/>
      <c r="D515" s="666"/>
      <c r="E515" s="667"/>
      <c r="F515" s="667"/>
      <c r="G515" s="668"/>
      <c r="H515" s="1408"/>
      <c r="I515" s="65"/>
      <c r="J515" s="66"/>
      <c r="K515" s="1407"/>
      <c r="L515" s="1409"/>
      <c r="M515" s="668"/>
    </row>
    <row r="516" spans="1:13" s="67" customFormat="1">
      <c r="A516" s="1406"/>
      <c r="B516" s="1407"/>
      <c r="C516" s="668"/>
      <c r="D516" s="666"/>
      <c r="E516" s="667"/>
      <c r="F516" s="667"/>
      <c r="G516" s="668"/>
      <c r="H516" s="1408"/>
      <c r="I516" s="65"/>
      <c r="J516" s="66"/>
      <c r="K516" s="1407"/>
      <c r="L516" s="1409"/>
      <c r="M516" s="668"/>
    </row>
    <row r="517" spans="1:13" s="67" customFormat="1">
      <c r="A517" s="1406"/>
      <c r="B517" s="1407"/>
      <c r="C517" s="668"/>
      <c r="D517" s="666"/>
      <c r="E517" s="667"/>
      <c r="F517" s="667"/>
      <c r="G517" s="668"/>
      <c r="H517" s="1408"/>
      <c r="I517" s="65"/>
      <c r="J517" s="66"/>
      <c r="K517" s="1407"/>
      <c r="L517" s="1409"/>
      <c r="M517" s="668"/>
    </row>
    <row r="518" spans="1:13" s="67" customFormat="1">
      <c r="A518" s="1406"/>
      <c r="B518" s="1407"/>
      <c r="C518" s="668"/>
      <c r="D518" s="666"/>
      <c r="E518" s="667"/>
      <c r="F518" s="667"/>
      <c r="G518" s="668"/>
      <c r="H518" s="1408"/>
      <c r="I518" s="65"/>
      <c r="J518" s="66"/>
      <c r="K518" s="1407"/>
      <c r="L518" s="1409"/>
      <c r="M518" s="668"/>
    </row>
    <row r="519" spans="1:13" s="67" customFormat="1">
      <c r="A519" s="1406"/>
      <c r="B519" s="1407"/>
      <c r="C519" s="668"/>
      <c r="D519" s="666"/>
      <c r="E519" s="667"/>
      <c r="F519" s="667"/>
      <c r="G519" s="668"/>
      <c r="H519" s="1408"/>
      <c r="I519" s="65"/>
      <c r="J519" s="66"/>
      <c r="K519" s="1407"/>
      <c r="L519" s="1409"/>
      <c r="M519" s="668"/>
    </row>
    <row r="520" spans="1:13" s="67" customFormat="1">
      <c r="A520" s="1406"/>
      <c r="B520" s="1407"/>
      <c r="C520" s="668"/>
      <c r="D520" s="666"/>
      <c r="E520" s="667"/>
      <c r="F520" s="667"/>
      <c r="G520" s="668"/>
      <c r="H520" s="1408"/>
      <c r="I520" s="65"/>
      <c r="J520" s="66"/>
      <c r="K520" s="1407"/>
      <c r="L520" s="1409"/>
      <c r="M520" s="668"/>
    </row>
    <row r="521" spans="1:13" s="67" customFormat="1">
      <c r="A521" s="1406"/>
      <c r="B521" s="1407"/>
      <c r="C521" s="668"/>
      <c r="D521" s="666"/>
      <c r="E521" s="667"/>
      <c r="F521" s="667"/>
      <c r="G521" s="668"/>
      <c r="H521" s="1408"/>
      <c r="I521" s="65"/>
      <c r="J521" s="66"/>
      <c r="K521" s="1407"/>
      <c r="L521" s="1409"/>
      <c r="M521" s="668"/>
    </row>
    <row r="522" spans="1:13" s="67" customFormat="1">
      <c r="A522" s="1406"/>
      <c r="B522" s="1407"/>
      <c r="C522" s="668"/>
      <c r="D522" s="666"/>
      <c r="E522" s="667"/>
      <c r="F522" s="667"/>
      <c r="G522" s="668"/>
      <c r="H522" s="1408"/>
      <c r="I522" s="65"/>
      <c r="J522" s="66"/>
      <c r="K522" s="1407"/>
      <c r="L522" s="1409"/>
      <c r="M522" s="668"/>
    </row>
    <row r="523" spans="1:13" s="67" customFormat="1">
      <c r="A523" s="1406"/>
      <c r="B523" s="1407"/>
      <c r="C523" s="668"/>
      <c r="D523" s="666"/>
      <c r="E523" s="667"/>
      <c r="F523" s="667"/>
      <c r="G523" s="668"/>
      <c r="H523" s="1408"/>
      <c r="I523" s="65"/>
      <c r="J523" s="66"/>
      <c r="K523" s="1407"/>
      <c r="L523" s="1409"/>
      <c r="M523" s="668"/>
    </row>
    <row r="524" spans="1:13" s="67" customFormat="1">
      <c r="A524" s="1406"/>
      <c r="B524" s="1407"/>
      <c r="C524" s="668"/>
      <c r="D524" s="666"/>
      <c r="E524" s="667"/>
      <c r="F524" s="667"/>
      <c r="G524" s="668"/>
      <c r="H524" s="1408"/>
      <c r="I524" s="65"/>
      <c r="J524" s="66"/>
      <c r="K524" s="1407"/>
      <c r="L524" s="1409"/>
      <c r="M524" s="668"/>
    </row>
    <row r="525" spans="1:13" s="67" customFormat="1">
      <c r="A525" s="1406"/>
      <c r="B525" s="1407"/>
      <c r="C525" s="668"/>
      <c r="D525" s="666"/>
      <c r="E525" s="667"/>
      <c r="F525" s="667"/>
      <c r="G525" s="668"/>
      <c r="H525" s="1408"/>
      <c r="I525" s="65"/>
      <c r="J525" s="66"/>
      <c r="K525" s="1407"/>
      <c r="L525" s="1409"/>
      <c r="M525" s="668"/>
    </row>
    <row r="526" spans="1:13" s="67" customFormat="1">
      <c r="A526" s="1406"/>
      <c r="B526" s="1407"/>
      <c r="C526" s="668"/>
      <c r="D526" s="666"/>
      <c r="E526" s="667"/>
      <c r="F526" s="667"/>
      <c r="G526" s="668"/>
      <c r="H526" s="1408"/>
      <c r="I526" s="65"/>
      <c r="J526" s="66"/>
      <c r="K526" s="1407"/>
      <c r="L526" s="1409"/>
      <c r="M526" s="668"/>
    </row>
    <row r="527" spans="1:13" s="67" customFormat="1">
      <c r="A527" s="1406"/>
      <c r="B527" s="1407"/>
      <c r="C527" s="668"/>
      <c r="D527" s="666"/>
      <c r="E527" s="667"/>
      <c r="F527" s="667"/>
      <c r="G527" s="668"/>
      <c r="H527" s="1408"/>
      <c r="I527" s="65"/>
      <c r="J527" s="66"/>
      <c r="K527" s="1407"/>
      <c r="L527" s="1409"/>
      <c r="M527" s="668"/>
    </row>
    <row r="528" spans="1:13" s="67" customFormat="1">
      <c r="A528" s="1406"/>
      <c r="B528" s="1407"/>
      <c r="C528" s="668"/>
      <c r="D528" s="666"/>
      <c r="E528" s="667"/>
      <c r="F528" s="667"/>
      <c r="G528" s="668"/>
      <c r="H528" s="1408"/>
      <c r="I528" s="65"/>
      <c r="J528" s="66"/>
      <c r="K528" s="1407"/>
      <c r="L528" s="1409"/>
      <c r="M528" s="668"/>
    </row>
    <row r="529" spans="1:13" s="67" customFormat="1">
      <c r="A529" s="1406"/>
      <c r="B529" s="1407"/>
      <c r="C529" s="668"/>
      <c r="D529" s="666"/>
      <c r="E529" s="667"/>
      <c r="F529" s="667"/>
      <c r="G529" s="668"/>
      <c r="H529" s="1408"/>
      <c r="I529" s="65"/>
      <c r="J529" s="66"/>
      <c r="K529" s="1407"/>
      <c r="L529" s="1409"/>
      <c r="M529" s="668"/>
    </row>
    <row r="530" spans="1:13" s="67" customFormat="1">
      <c r="A530" s="1406"/>
      <c r="B530" s="1407"/>
      <c r="C530" s="668"/>
      <c r="D530" s="666"/>
      <c r="E530" s="667"/>
      <c r="F530" s="667"/>
      <c r="G530" s="668"/>
      <c r="H530" s="1408"/>
      <c r="I530" s="65"/>
      <c r="J530" s="66"/>
      <c r="K530" s="1407"/>
      <c r="L530" s="1409"/>
      <c r="M530" s="668"/>
    </row>
    <row r="531" spans="1:13" s="67" customFormat="1">
      <c r="A531" s="1406"/>
      <c r="B531" s="1407"/>
      <c r="C531" s="668"/>
      <c r="D531" s="666"/>
      <c r="E531" s="667"/>
      <c r="F531" s="667"/>
      <c r="G531" s="668"/>
      <c r="H531" s="1408"/>
      <c r="I531" s="65"/>
      <c r="J531" s="66"/>
      <c r="K531" s="1407"/>
      <c r="L531" s="1409"/>
      <c r="M531" s="668"/>
    </row>
    <row r="532" spans="1:13" s="67" customFormat="1">
      <c r="A532" s="1406"/>
      <c r="B532" s="1407"/>
      <c r="C532" s="668"/>
      <c r="D532" s="666"/>
      <c r="E532" s="667"/>
      <c r="F532" s="667"/>
      <c r="G532" s="668"/>
      <c r="H532" s="1408"/>
      <c r="I532" s="65"/>
      <c r="J532" s="66"/>
      <c r="K532" s="1407"/>
      <c r="L532" s="1409"/>
      <c r="M532" s="668"/>
    </row>
    <row r="533" spans="1:13" s="67" customFormat="1">
      <c r="A533" s="1406"/>
      <c r="B533" s="1407"/>
      <c r="C533" s="668"/>
      <c r="D533" s="666"/>
      <c r="E533" s="667"/>
      <c r="F533" s="667"/>
      <c r="G533" s="668"/>
      <c r="H533" s="1408"/>
      <c r="I533" s="65"/>
      <c r="J533" s="66"/>
      <c r="K533" s="1407"/>
      <c r="L533" s="1409"/>
      <c r="M533" s="668"/>
    </row>
    <row r="534" spans="1:13" s="67" customFormat="1">
      <c r="A534" s="1406"/>
      <c r="B534" s="1407"/>
      <c r="C534" s="668"/>
      <c r="D534" s="666"/>
      <c r="E534" s="667"/>
      <c r="F534" s="667"/>
      <c r="G534" s="668"/>
      <c r="H534" s="1408"/>
      <c r="I534" s="65"/>
      <c r="J534" s="66"/>
      <c r="K534" s="1407"/>
      <c r="L534" s="1409"/>
      <c r="M534" s="668"/>
    </row>
    <row r="535" spans="1:13" s="67" customFormat="1">
      <c r="A535" s="1406"/>
      <c r="B535" s="1407"/>
      <c r="C535" s="668"/>
      <c r="D535" s="666"/>
      <c r="E535" s="667"/>
      <c r="F535" s="667"/>
      <c r="G535" s="668"/>
      <c r="H535" s="1408"/>
      <c r="I535" s="65"/>
      <c r="J535" s="66"/>
      <c r="K535" s="1407"/>
      <c r="L535" s="1409"/>
      <c r="M535" s="668"/>
    </row>
    <row r="536" spans="1:13" s="67" customFormat="1">
      <c r="A536" s="1406"/>
      <c r="B536" s="1407"/>
      <c r="C536" s="668"/>
      <c r="D536" s="666"/>
      <c r="E536" s="667"/>
      <c r="F536" s="667"/>
      <c r="G536" s="668"/>
      <c r="H536" s="1408"/>
      <c r="I536" s="65"/>
      <c r="J536" s="66"/>
      <c r="K536" s="1407"/>
      <c r="L536" s="1409"/>
      <c r="M536" s="668"/>
    </row>
    <row r="537" spans="1:13" s="67" customFormat="1">
      <c r="A537" s="1406"/>
      <c r="B537" s="1407"/>
      <c r="C537" s="668"/>
      <c r="D537" s="666"/>
      <c r="E537" s="667"/>
      <c r="F537" s="667"/>
      <c r="G537" s="668"/>
      <c r="H537" s="1408"/>
      <c r="I537" s="65"/>
      <c r="J537" s="66"/>
      <c r="K537" s="1407"/>
      <c r="L537" s="1409"/>
      <c r="M537" s="668"/>
    </row>
    <row r="538" spans="1:13" s="67" customFormat="1">
      <c r="A538" s="1406"/>
      <c r="B538" s="1407"/>
      <c r="C538" s="668"/>
      <c r="D538" s="666"/>
      <c r="E538" s="667"/>
      <c r="F538" s="667"/>
      <c r="G538" s="668"/>
      <c r="H538" s="1408"/>
      <c r="I538" s="65"/>
      <c r="J538" s="66"/>
      <c r="K538" s="1407"/>
      <c r="L538" s="1409"/>
      <c r="M538" s="668"/>
    </row>
    <row r="539" spans="1:13" s="67" customFormat="1">
      <c r="A539" s="1406"/>
      <c r="B539" s="1407"/>
      <c r="C539" s="668"/>
      <c r="D539" s="666"/>
      <c r="E539" s="667"/>
      <c r="F539" s="667"/>
      <c r="G539" s="668"/>
      <c r="H539" s="1408"/>
      <c r="I539" s="65"/>
      <c r="J539" s="66"/>
      <c r="K539" s="1407"/>
      <c r="L539" s="1409"/>
      <c r="M539" s="668"/>
    </row>
    <row r="540" spans="1:13" s="67" customFormat="1">
      <c r="A540" s="1406"/>
      <c r="B540" s="1407"/>
      <c r="C540" s="668"/>
      <c r="D540" s="666"/>
      <c r="E540" s="667"/>
      <c r="F540" s="667"/>
      <c r="G540" s="668"/>
      <c r="H540" s="1408"/>
      <c r="I540" s="65"/>
      <c r="J540" s="66"/>
      <c r="K540" s="1407"/>
      <c r="L540" s="1409"/>
      <c r="M540" s="668"/>
    </row>
    <row r="541" spans="1:13" s="67" customFormat="1">
      <c r="A541" s="1406"/>
      <c r="B541" s="1407"/>
      <c r="C541" s="668"/>
      <c r="D541" s="666"/>
      <c r="E541" s="667"/>
      <c r="F541" s="667"/>
      <c r="G541" s="668"/>
      <c r="H541" s="1408"/>
      <c r="I541" s="65"/>
      <c r="J541" s="66"/>
      <c r="K541" s="1407"/>
      <c r="L541" s="1409"/>
      <c r="M541" s="668"/>
    </row>
    <row r="542" spans="1:13" s="67" customFormat="1">
      <c r="A542" s="1406"/>
      <c r="B542" s="1407"/>
      <c r="C542" s="668"/>
      <c r="D542" s="666"/>
      <c r="E542" s="667"/>
      <c r="F542" s="667"/>
      <c r="G542" s="668"/>
      <c r="H542" s="1408"/>
      <c r="I542" s="65"/>
      <c r="J542" s="66"/>
      <c r="K542" s="1407"/>
      <c r="L542" s="1409"/>
      <c r="M542" s="668"/>
    </row>
    <row r="543" spans="1:13" s="67" customFormat="1">
      <c r="A543" s="1406"/>
      <c r="B543" s="1407"/>
      <c r="C543" s="668"/>
      <c r="D543" s="666"/>
      <c r="E543" s="667"/>
      <c r="F543" s="667"/>
      <c r="G543" s="668"/>
      <c r="H543" s="1408"/>
      <c r="I543" s="65"/>
      <c r="J543" s="66"/>
      <c r="K543" s="1407"/>
      <c r="L543" s="1409"/>
      <c r="M543" s="668"/>
    </row>
    <row r="544" spans="1:13" s="67" customFormat="1">
      <c r="A544" s="1406"/>
      <c r="B544" s="1407"/>
      <c r="C544" s="668"/>
      <c r="D544" s="666"/>
      <c r="E544" s="667"/>
      <c r="F544" s="667"/>
      <c r="G544" s="668"/>
      <c r="H544" s="1408"/>
      <c r="I544" s="65"/>
      <c r="J544" s="66"/>
      <c r="K544" s="1407"/>
      <c r="L544" s="1409"/>
      <c r="M544" s="668"/>
    </row>
    <row r="545" spans="1:13" s="67" customFormat="1">
      <c r="A545" s="1406"/>
      <c r="B545" s="1407"/>
      <c r="C545" s="668"/>
      <c r="D545" s="666"/>
      <c r="E545" s="667"/>
      <c r="F545" s="667"/>
      <c r="G545" s="668"/>
      <c r="H545" s="1408"/>
      <c r="I545" s="65"/>
      <c r="J545" s="66"/>
      <c r="K545" s="1407"/>
      <c r="L545" s="1409"/>
      <c r="M545" s="668"/>
    </row>
    <row r="546" spans="1:13" s="67" customFormat="1">
      <c r="A546" s="1406"/>
      <c r="B546" s="1407"/>
      <c r="C546" s="668"/>
      <c r="D546" s="666"/>
      <c r="E546" s="667"/>
      <c r="F546" s="667"/>
      <c r="G546" s="668"/>
      <c r="H546" s="1408"/>
      <c r="I546" s="65"/>
      <c r="J546" s="66"/>
      <c r="K546" s="1407"/>
      <c r="L546" s="1409"/>
      <c r="M546" s="668"/>
    </row>
    <row r="547" spans="1:13" s="67" customFormat="1">
      <c r="A547" s="1406"/>
      <c r="B547" s="1407"/>
      <c r="C547" s="668"/>
      <c r="D547" s="666"/>
      <c r="E547" s="667"/>
      <c r="F547" s="667"/>
      <c r="G547" s="668"/>
      <c r="H547" s="1408"/>
      <c r="I547" s="65"/>
      <c r="J547" s="66"/>
      <c r="K547" s="1407"/>
      <c r="L547" s="1409"/>
      <c r="M547" s="668"/>
    </row>
    <row r="548" spans="1:13" s="67" customFormat="1">
      <c r="A548" s="1406"/>
      <c r="B548" s="1407"/>
      <c r="C548" s="668"/>
      <c r="D548" s="666"/>
      <c r="E548" s="667"/>
      <c r="F548" s="667"/>
      <c r="G548" s="668"/>
      <c r="H548" s="1408"/>
      <c r="I548" s="65"/>
      <c r="J548" s="66"/>
      <c r="K548" s="1407"/>
      <c r="L548" s="1409"/>
      <c r="M548" s="668"/>
    </row>
    <row r="549" spans="1:13" s="67" customFormat="1">
      <c r="A549" s="1406"/>
      <c r="B549" s="1407"/>
      <c r="C549" s="668"/>
      <c r="D549" s="666"/>
      <c r="E549" s="667"/>
      <c r="F549" s="667"/>
      <c r="G549" s="668"/>
      <c r="H549" s="1408"/>
      <c r="I549" s="65"/>
      <c r="J549" s="66"/>
      <c r="K549" s="1407"/>
      <c r="L549" s="1409"/>
      <c r="M549" s="668"/>
    </row>
    <row r="550" spans="1:13" s="67" customFormat="1">
      <c r="A550" s="1406"/>
      <c r="B550" s="1407"/>
      <c r="C550" s="668"/>
      <c r="D550" s="666"/>
      <c r="E550" s="667"/>
      <c r="F550" s="667"/>
      <c r="G550" s="668"/>
      <c r="H550" s="1408"/>
      <c r="I550" s="65"/>
      <c r="J550" s="66"/>
      <c r="K550" s="1407"/>
      <c r="L550" s="1409"/>
      <c r="M550" s="668"/>
    </row>
    <row r="551" spans="1:13" s="67" customFormat="1">
      <c r="A551" s="1406"/>
      <c r="B551" s="1407"/>
      <c r="C551" s="668"/>
      <c r="D551" s="666"/>
      <c r="E551" s="667"/>
      <c r="F551" s="667"/>
      <c r="G551" s="668"/>
      <c r="H551" s="1408"/>
      <c r="I551" s="65"/>
      <c r="J551" s="66"/>
      <c r="K551" s="1407"/>
      <c r="L551" s="1409"/>
      <c r="M551" s="668"/>
    </row>
    <row r="552" spans="1:13" s="67" customFormat="1">
      <c r="A552" s="1406"/>
      <c r="B552" s="1407"/>
      <c r="C552" s="668"/>
      <c r="D552" s="666"/>
      <c r="E552" s="667"/>
      <c r="F552" s="667"/>
      <c r="G552" s="668"/>
      <c r="H552" s="1408"/>
      <c r="I552" s="65"/>
      <c r="J552" s="66"/>
      <c r="K552" s="1407"/>
      <c r="L552" s="1409"/>
      <c r="M552" s="668"/>
    </row>
    <row r="553" spans="1:13" s="67" customFormat="1">
      <c r="A553" s="1406"/>
      <c r="B553" s="1407"/>
      <c r="C553" s="668"/>
      <c r="D553" s="666"/>
      <c r="E553" s="667"/>
      <c r="F553" s="667"/>
      <c r="G553" s="668"/>
      <c r="H553" s="1408"/>
      <c r="I553" s="65"/>
      <c r="J553" s="66"/>
      <c r="K553" s="1407"/>
      <c r="L553" s="1409"/>
      <c r="M553" s="668"/>
    </row>
    <row r="554" spans="1:13" s="67" customFormat="1">
      <c r="A554" s="1406"/>
      <c r="B554" s="1407"/>
      <c r="C554" s="668"/>
      <c r="D554" s="666"/>
      <c r="E554" s="667"/>
      <c r="F554" s="667"/>
      <c r="G554" s="668"/>
      <c r="H554" s="1408"/>
      <c r="I554" s="65"/>
      <c r="J554" s="66"/>
      <c r="K554" s="1407"/>
      <c r="L554" s="1409"/>
      <c r="M554" s="668"/>
    </row>
    <row r="555" spans="1:13" s="67" customFormat="1">
      <c r="A555" s="1406"/>
      <c r="B555" s="1407"/>
      <c r="C555" s="668"/>
      <c r="D555" s="666"/>
      <c r="E555" s="667"/>
      <c r="F555" s="667"/>
      <c r="G555" s="668"/>
      <c r="H555" s="1408"/>
      <c r="I555" s="65"/>
      <c r="J555" s="66"/>
      <c r="K555" s="1407"/>
      <c r="L555" s="1409"/>
      <c r="M555" s="668"/>
    </row>
    <row r="556" spans="1:13" s="67" customFormat="1">
      <c r="A556" s="1406"/>
      <c r="B556" s="1407"/>
      <c r="C556" s="668"/>
      <c r="D556" s="666"/>
      <c r="E556" s="667"/>
      <c r="F556" s="667"/>
      <c r="G556" s="668"/>
      <c r="H556" s="1408"/>
      <c r="I556" s="65"/>
      <c r="J556" s="66"/>
      <c r="K556" s="1407"/>
      <c r="L556" s="1409"/>
      <c r="M556" s="668"/>
    </row>
    <row r="557" spans="1:13" s="67" customFormat="1">
      <c r="A557" s="1406"/>
      <c r="B557" s="1407"/>
      <c r="C557" s="668"/>
      <c r="D557" s="666"/>
      <c r="E557" s="667"/>
      <c r="F557" s="667"/>
      <c r="G557" s="668"/>
      <c r="H557" s="1408"/>
      <c r="I557" s="65"/>
      <c r="J557" s="66"/>
      <c r="K557" s="1407"/>
      <c r="L557" s="1409"/>
      <c r="M557" s="668"/>
    </row>
    <row r="558" spans="1:13" s="67" customFormat="1">
      <c r="A558" s="1406"/>
      <c r="B558" s="1407"/>
      <c r="C558" s="668"/>
      <c r="D558" s="666"/>
      <c r="E558" s="667"/>
      <c r="F558" s="667"/>
      <c r="G558" s="668"/>
      <c r="H558" s="1408"/>
      <c r="I558" s="65"/>
      <c r="J558" s="66"/>
      <c r="K558" s="1407"/>
      <c r="L558" s="1409"/>
      <c r="M558" s="668"/>
    </row>
    <row r="559" spans="1:13" s="67" customFormat="1">
      <c r="A559" s="1406"/>
      <c r="B559" s="1407"/>
      <c r="C559" s="668"/>
      <c r="D559" s="666"/>
      <c r="E559" s="667"/>
      <c r="F559" s="667"/>
      <c r="G559" s="668"/>
      <c r="H559" s="1408"/>
      <c r="I559" s="65"/>
      <c r="J559" s="66"/>
      <c r="K559" s="1407"/>
      <c r="L559" s="1409"/>
      <c r="M559" s="668"/>
    </row>
    <row r="560" spans="1:13" s="67" customFormat="1">
      <c r="A560" s="1406"/>
      <c r="B560" s="1407"/>
      <c r="C560" s="668"/>
      <c r="D560" s="666"/>
      <c r="E560" s="667"/>
      <c r="F560" s="667"/>
      <c r="G560" s="668"/>
      <c r="H560" s="1408"/>
      <c r="I560" s="65"/>
      <c r="J560" s="66"/>
      <c r="K560" s="1407"/>
      <c r="L560" s="1409"/>
      <c r="M560" s="668"/>
    </row>
    <row r="561" spans="1:13" s="67" customFormat="1">
      <c r="A561" s="1406"/>
      <c r="B561" s="1407"/>
      <c r="C561" s="668"/>
      <c r="D561" s="666"/>
      <c r="E561" s="667"/>
      <c r="F561" s="667"/>
      <c r="G561" s="668"/>
      <c r="H561" s="1408"/>
      <c r="I561" s="65"/>
      <c r="J561" s="66"/>
      <c r="K561" s="1407"/>
      <c r="L561" s="1409"/>
      <c r="M561" s="668"/>
    </row>
    <row r="562" spans="1:13" s="67" customFormat="1">
      <c r="A562" s="1406"/>
      <c r="B562" s="1407"/>
      <c r="C562" s="668"/>
      <c r="D562" s="666"/>
      <c r="E562" s="667"/>
      <c r="F562" s="667"/>
      <c r="G562" s="668"/>
      <c r="H562" s="1408"/>
      <c r="I562" s="65"/>
      <c r="J562" s="66"/>
      <c r="K562" s="1407"/>
      <c r="L562" s="1409"/>
      <c r="M562" s="668"/>
    </row>
    <row r="563" spans="1:13" s="67" customFormat="1">
      <c r="A563" s="1406"/>
      <c r="B563" s="1407"/>
      <c r="C563" s="668"/>
      <c r="D563" s="666"/>
      <c r="E563" s="667"/>
      <c r="F563" s="667"/>
      <c r="G563" s="668"/>
      <c r="H563" s="1408"/>
      <c r="I563" s="65"/>
      <c r="J563" s="66"/>
      <c r="K563" s="1407"/>
      <c r="L563" s="1409"/>
      <c r="M563" s="668"/>
    </row>
    <row r="564" spans="1:13" s="67" customFormat="1">
      <c r="A564" s="1406"/>
      <c r="B564" s="1407"/>
      <c r="C564" s="668"/>
      <c r="D564" s="666"/>
      <c r="E564" s="667"/>
      <c r="F564" s="667"/>
      <c r="G564" s="668"/>
      <c r="H564" s="1408"/>
      <c r="I564" s="65"/>
      <c r="J564" s="66"/>
      <c r="K564" s="1407"/>
      <c r="L564" s="1409"/>
      <c r="M564" s="668"/>
    </row>
    <row r="565" spans="1:13" s="67" customFormat="1">
      <c r="A565" s="1406"/>
      <c r="B565" s="1407"/>
      <c r="C565" s="668"/>
      <c r="D565" s="666"/>
      <c r="E565" s="667"/>
      <c r="F565" s="667"/>
      <c r="G565" s="668"/>
      <c r="H565" s="1408"/>
      <c r="I565" s="65"/>
      <c r="J565" s="66"/>
      <c r="K565" s="1407"/>
      <c r="L565" s="1409"/>
      <c r="M565" s="668"/>
    </row>
    <row r="566" spans="1:13" s="67" customFormat="1">
      <c r="A566" s="1406"/>
      <c r="B566" s="1407"/>
      <c r="C566" s="668"/>
      <c r="D566" s="666"/>
      <c r="E566" s="667"/>
      <c r="F566" s="667"/>
      <c r="G566" s="668"/>
      <c r="H566" s="1408"/>
      <c r="I566" s="65"/>
      <c r="J566" s="66"/>
      <c r="K566" s="1407"/>
      <c r="L566" s="1409"/>
      <c r="M566" s="668"/>
    </row>
    <row r="567" spans="1:13" s="67" customFormat="1">
      <c r="A567" s="1406"/>
      <c r="B567" s="1407"/>
      <c r="C567" s="668"/>
      <c r="D567" s="666"/>
      <c r="E567" s="667"/>
      <c r="F567" s="667"/>
      <c r="G567" s="668"/>
      <c r="H567" s="1408"/>
      <c r="I567" s="65"/>
      <c r="J567" s="66"/>
      <c r="K567" s="1407"/>
      <c r="L567" s="1409"/>
      <c r="M567" s="668"/>
    </row>
    <row r="568" spans="1:13" s="67" customFormat="1">
      <c r="A568" s="1406"/>
      <c r="B568" s="1407"/>
      <c r="C568" s="668"/>
      <c r="D568" s="666"/>
      <c r="E568" s="667"/>
      <c r="F568" s="667"/>
      <c r="G568" s="668"/>
      <c r="H568" s="1408"/>
      <c r="I568" s="65"/>
      <c r="J568" s="66"/>
      <c r="K568" s="1407"/>
      <c r="L568" s="1409"/>
      <c r="M568" s="668"/>
    </row>
    <row r="569" spans="1:13" s="67" customFormat="1">
      <c r="A569" s="1406"/>
      <c r="B569" s="1407"/>
      <c r="C569" s="668"/>
      <c r="D569" s="666"/>
      <c r="E569" s="667"/>
      <c r="F569" s="667"/>
      <c r="G569" s="668"/>
      <c r="H569" s="1408"/>
      <c r="I569" s="65"/>
      <c r="J569" s="66"/>
      <c r="K569" s="1407"/>
      <c r="L569" s="1409"/>
      <c r="M569" s="668"/>
    </row>
    <row r="570" spans="1:13" s="67" customFormat="1">
      <c r="A570" s="1406"/>
      <c r="B570" s="1407"/>
      <c r="C570" s="668"/>
      <c r="D570" s="666"/>
      <c r="E570" s="667"/>
      <c r="F570" s="667"/>
      <c r="G570" s="668"/>
      <c r="H570" s="1408"/>
      <c r="I570" s="65"/>
      <c r="J570" s="66"/>
      <c r="K570" s="1407"/>
      <c r="L570" s="1409"/>
      <c r="M570" s="668"/>
    </row>
    <row r="571" spans="1:13" s="67" customFormat="1">
      <c r="A571" s="1406"/>
      <c r="B571" s="1407"/>
      <c r="C571" s="668"/>
      <c r="D571" s="666"/>
      <c r="E571" s="667"/>
      <c r="F571" s="667"/>
      <c r="G571" s="668"/>
      <c r="H571" s="1408"/>
      <c r="I571" s="65"/>
      <c r="J571" s="66"/>
      <c r="K571" s="1407"/>
      <c r="L571" s="1409"/>
      <c r="M571" s="668"/>
    </row>
    <row r="572" spans="1:13" s="67" customFormat="1">
      <c r="A572" s="1406"/>
      <c r="B572" s="1407"/>
      <c r="C572" s="668"/>
      <c r="D572" s="666"/>
      <c r="E572" s="667"/>
      <c r="F572" s="667"/>
      <c r="G572" s="668"/>
      <c r="H572" s="1408"/>
      <c r="I572" s="65"/>
      <c r="J572" s="66"/>
      <c r="K572" s="1407"/>
      <c r="L572" s="1409"/>
      <c r="M572" s="668"/>
    </row>
    <row r="573" spans="1:13" s="67" customFormat="1">
      <c r="A573" s="1406"/>
      <c r="B573" s="1407"/>
      <c r="C573" s="668"/>
      <c r="D573" s="666"/>
      <c r="E573" s="667"/>
      <c r="F573" s="667"/>
      <c r="G573" s="668"/>
      <c r="H573" s="1408"/>
      <c r="I573" s="65"/>
      <c r="J573" s="66"/>
      <c r="K573" s="1407"/>
      <c r="L573" s="1409"/>
      <c r="M573" s="668"/>
    </row>
    <row r="574" spans="1:13" s="67" customFormat="1">
      <c r="A574" s="1406"/>
      <c r="B574" s="1407"/>
      <c r="C574" s="668"/>
      <c r="D574" s="666"/>
      <c r="E574" s="667"/>
      <c r="F574" s="667"/>
      <c r="G574" s="668"/>
      <c r="H574" s="1408"/>
      <c r="I574" s="65"/>
      <c r="J574" s="66"/>
      <c r="K574" s="1407"/>
      <c r="L574" s="1409"/>
      <c r="M574" s="668"/>
    </row>
    <row r="575" spans="1:13" s="67" customFormat="1">
      <c r="A575" s="1406"/>
      <c r="B575" s="1407"/>
      <c r="C575" s="668"/>
      <c r="D575" s="666"/>
      <c r="E575" s="667"/>
      <c r="F575" s="667"/>
      <c r="G575" s="668"/>
      <c r="H575" s="1408"/>
      <c r="I575" s="65"/>
      <c r="J575" s="66"/>
      <c r="K575" s="1407"/>
      <c r="L575" s="1409"/>
      <c r="M575" s="668"/>
    </row>
    <row r="576" spans="1:13" s="67" customFormat="1">
      <c r="A576" s="1406"/>
      <c r="B576" s="1407"/>
      <c r="C576" s="668"/>
      <c r="D576" s="666"/>
      <c r="E576" s="667"/>
      <c r="F576" s="667"/>
      <c r="G576" s="668"/>
      <c r="H576" s="1408"/>
      <c r="I576" s="65"/>
      <c r="J576" s="66"/>
      <c r="K576" s="1407"/>
      <c r="L576" s="1409"/>
      <c r="M576" s="668"/>
    </row>
    <row r="577" spans="1:13" s="67" customFormat="1">
      <c r="A577" s="1406"/>
      <c r="B577" s="1407"/>
      <c r="C577" s="668"/>
      <c r="D577" s="666"/>
      <c r="E577" s="667"/>
      <c r="F577" s="667"/>
      <c r="G577" s="668"/>
      <c r="H577" s="1408"/>
      <c r="I577" s="65"/>
      <c r="J577" s="66"/>
      <c r="K577" s="1407"/>
      <c r="L577" s="1409"/>
      <c r="M577" s="668"/>
    </row>
    <row r="578" spans="1:13" s="67" customFormat="1">
      <c r="A578" s="1406"/>
      <c r="B578" s="1407"/>
      <c r="C578" s="668"/>
      <c r="D578" s="666"/>
      <c r="E578" s="667"/>
      <c r="F578" s="667"/>
      <c r="G578" s="668"/>
      <c r="H578" s="1408"/>
      <c r="I578" s="65"/>
      <c r="J578" s="66"/>
      <c r="K578" s="1407"/>
      <c r="L578" s="1409"/>
      <c r="M578" s="668"/>
    </row>
    <row r="579" spans="1:13" s="67" customFormat="1">
      <c r="A579" s="1406"/>
      <c r="B579" s="1407"/>
      <c r="C579" s="668"/>
      <c r="D579" s="666"/>
      <c r="E579" s="667"/>
      <c r="F579" s="667"/>
      <c r="G579" s="668"/>
      <c r="H579" s="1408"/>
      <c r="I579" s="65"/>
      <c r="J579" s="66"/>
      <c r="K579" s="1407"/>
      <c r="L579" s="1409"/>
      <c r="M579" s="668"/>
    </row>
    <row r="580" spans="1:13" s="67" customFormat="1">
      <c r="A580" s="1406"/>
      <c r="B580" s="1407"/>
      <c r="C580" s="668"/>
      <c r="D580" s="666"/>
      <c r="E580" s="667"/>
      <c r="F580" s="667"/>
      <c r="G580" s="668"/>
      <c r="H580" s="1408"/>
      <c r="I580" s="65"/>
      <c r="J580" s="66"/>
      <c r="K580" s="1407"/>
      <c r="L580" s="1409"/>
      <c r="M580" s="668"/>
    </row>
    <row r="581" spans="1:13" s="67" customFormat="1">
      <c r="A581" s="1406"/>
      <c r="B581" s="1407"/>
      <c r="C581" s="668"/>
      <c r="D581" s="666"/>
      <c r="E581" s="667"/>
      <c r="F581" s="667"/>
      <c r="G581" s="668"/>
      <c r="H581" s="1408"/>
      <c r="I581" s="65"/>
      <c r="J581" s="66"/>
      <c r="K581" s="1407"/>
      <c r="L581" s="1409"/>
      <c r="M581" s="668"/>
    </row>
    <row r="582" spans="1:13" s="67" customFormat="1">
      <c r="A582" s="1406"/>
      <c r="B582" s="1407"/>
      <c r="C582" s="668"/>
      <c r="D582" s="666"/>
      <c r="E582" s="667"/>
      <c r="F582" s="667"/>
      <c r="G582" s="668"/>
      <c r="H582" s="1408"/>
      <c r="I582" s="65"/>
      <c r="J582" s="66"/>
      <c r="K582" s="1407"/>
      <c r="L582" s="1409"/>
      <c r="M582" s="668"/>
    </row>
    <row r="583" spans="1:13" s="67" customFormat="1">
      <c r="A583" s="1406"/>
      <c r="B583" s="1407"/>
      <c r="C583" s="668"/>
      <c r="D583" s="666"/>
      <c r="E583" s="667"/>
      <c r="F583" s="667"/>
      <c r="G583" s="668"/>
      <c r="H583" s="1408"/>
      <c r="I583" s="65"/>
      <c r="J583" s="66"/>
      <c r="K583" s="1407"/>
      <c r="L583" s="1409"/>
      <c r="M583" s="668"/>
    </row>
    <row r="584" spans="1:13" s="67" customFormat="1">
      <c r="A584" s="1406"/>
      <c r="B584" s="1407"/>
      <c r="C584" s="668"/>
      <c r="D584" s="666"/>
      <c r="E584" s="667"/>
      <c r="F584" s="667"/>
      <c r="G584" s="668"/>
      <c r="H584" s="1408"/>
      <c r="I584" s="65"/>
      <c r="J584" s="66"/>
      <c r="K584" s="1407"/>
      <c r="L584" s="1409"/>
      <c r="M584" s="668"/>
    </row>
    <row r="585" spans="1:13" s="67" customFormat="1">
      <c r="A585" s="1406"/>
      <c r="B585" s="1407"/>
      <c r="C585" s="668"/>
      <c r="D585" s="666"/>
      <c r="E585" s="667"/>
      <c r="F585" s="667"/>
      <c r="G585" s="668"/>
      <c r="H585" s="1408"/>
      <c r="I585" s="65"/>
      <c r="J585" s="66"/>
      <c r="K585" s="1407"/>
      <c r="L585" s="1409"/>
      <c r="M585" s="668"/>
    </row>
    <row r="586" spans="1:13" s="67" customFormat="1">
      <c r="A586" s="1406"/>
      <c r="B586" s="1407"/>
      <c r="C586" s="668"/>
      <c r="D586" s="666"/>
      <c r="E586" s="667"/>
      <c r="F586" s="667"/>
      <c r="G586" s="668"/>
      <c r="H586" s="1408"/>
      <c r="I586" s="65"/>
      <c r="J586" s="66"/>
      <c r="K586" s="1407"/>
      <c r="L586" s="1409"/>
      <c r="M586" s="668"/>
    </row>
    <row r="587" spans="1:13" s="67" customFormat="1">
      <c r="A587" s="1406"/>
      <c r="B587" s="1407"/>
      <c r="C587" s="668"/>
      <c r="D587" s="666"/>
      <c r="E587" s="667"/>
      <c r="F587" s="667"/>
      <c r="G587" s="668"/>
      <c r="H587" s="1408"/>
      <c r="I587" s="65"/>
      <c r="J587" s="66"/>
      <c r="K587" s="1407"/>
      <c r="L587" s="1409"/>
      <c r="M587" s="668"/>
    </row>
    <row r="588" spans="1:13" s="67" customFormat="1">
      <c r="A588" s="1406"/>
      <c r="B588" s="1407"/>
      <c r="C588" s="668"/>
      <c r="D588" s="666"/>
      <c r="E588" s="667"/>
      <c r="F588" s="667"/>
      <c r="G588" s="668"/>
      <c r="H588" s="1408"/>
      <c r="I588" s="65"/>
      <c r="J588" s="66"/>
      <c r="K588" s="1407"/>
      <c r="L588" s="1409"/>
      <c r="M588" s="668"/>
    </row>
    <row r="589" spans="1:13" s="67" customFormat="1">
      <c r="A589" s="1406"/>
      <c r="B589" s="1407"/>
      <c r="C589" s="668"/>
      <c r="D589" s="666"/>
      <c r="E589" s="667"/>
      <c r="F589" s="667"/>
      <c r="G589" s="668"/>
      <c r="H589" s="1408"/>
      <c r="I589" s="65"/>
      <c r="J589" s="66"/>
      <c r="K589" s="1407"/>
      <c r="L589" s="1409"/>
      <c r="M589" s="668"/>
    </row>
    <row r="590" spans="1:13" s="67" customFormat="1">
      <c r="A590" s="1406"/>
      <c r="B590" s="1407"/>
      <c r="C590" s="668"/>
      <c r="D590" s="666"/>
      <c r="E590" s="667"/>
      <c r="F590" s="667"/>
      <c r="G590" s="668"/>
      <c r="H590" s="1408"/>
      <c r="I590" s="65"/>
      <c r="J590" s="66"/>
      <c r="K590" s="1407"/>
      <c r="L590" s="1409"/>
      <c r="M590" s="668"/>
    </row>
    <row r="591" spans="1:13" s="67" customFormat="1">
      <c r="A591" s="1406"/>
      <c r="B591" s="1407"/>
      <c r="C591" s="668"/>
      <c r="D591" s="666"/>
      <c r="E591" s="667"/>
      <c r="F591" s="667"/>
      <c r="G591" s="668"/>
      <c r="H591" s="1408"/>
      <c r="I591" s="65"/>
      <c r="J591" s="66"/>
      <c r="K591" s="1407"/>
      <c r="L591" s="1409"/>
      <c r="M591" s="668"/>
    </row>
    <row r="592" spans="1:13" s="67" customFormat="1">
      <c r="A592" s="1406"/>
      <c r="B592" s="1407"/>
      <c r="C592" s="668"/>
      <c r="D592" s="666"/>
      <c r="E592" s="667"/>
      <c r="F592" s="667"/>
      <c r="G592" s="668"/>
      <c r="H592" s="1408"/>
      <c r="I592" s="65"/>
      <c r="J592" s="66"/>
      <c r="K592" s="1407"/>
      <c r="L592" s="1409"/>
      <c r="M592" s="668"/>
    </row>
    <row r="593" spans="1:13" s="67" customFormat="1">
      <c r="A593" s="1406"/>
      <c r="B593" s="1407"/>
      <c r="C593" s="668"/>
      <c r="D593" s="666"/>
      <c r="E593" s="667"/>
      <c r="F593" s="667"/>
      <c r="G593" s="668"/>
      <c r="H593" s="1408"/>
      <c r="I593" s="65"/>
      <c r="J593" s="66"/>
      <c r="K593" s="1407"/>
      <c r="L593" s="1409"/>
      <c r="M593" s="668"/>
    </row>
    <row r="594" spans="1:13" s="67" customFormat="1">
      <c r="A594" s="1406"/>
      <c r="B594" s="1407"/>
      <c r="C594" s="668"/>
      <c r="D594" s="666"/>
      <c r="E594" s="667"/>
      <c r="F594" s="667"/>
      <c r="G594" s="668"/>
      <c r="H594" s="1408"/>
      <c r="I594" s="65"/>
      <c r="J594" s="66"/>
      <c r="K594" s="1407"/>
      <c r="L594" s="1409"/>
      <c r="M594" s="668"/>
    </row>
    <row r="595" spans="1:13" s="67" customFormat="1">
      <c r="A595" s="1406"/>
      <c r="B595" s="1407"/>
      <c r="C595" s="668"/>
      <c r="D595" s="666"/>
      <c r="E595" s="667"/>
      <c r="F595" s="667"/>
      <c r="G595" s="668"/>
      <c r="H595" s="1408"/>
      <c r="I595" s="65"/>
      <c r="J595" s="66"/>
      <c r="K595" s="1407"/>
      <c r="L595" s="1409"/>
      <c r="M595" s="668"/>
    </row>
    <row r="596" spans="1:13" s="67" customFormat="1">
      <c r="A596" s="1406"/>
      <c r="B596" s="1407"/>
      <c r="C596" s="668"/>
      <c r="D596" s="666"/>
      <c r="E596" s="667"/>
      <c r="F596" s="667"/>
      <c r="G596" s="668"/>
      <c r="H596" s="1408"/>
      <c r="I596" s="65"/>
      <c r="J596" s="66"/>
      <c r="K596" s="1407"/>
      <c r="L596" s="1409"/>
      <c r="M596" s="668"/>
    </row>
    <row r="597" spans="1:13" s="67" customFormat="1">
      <c r="A597" s="1406"/>
      <c r="B597" s="1407"/>
      <c r="C597" s="668"/>
      <c r="D597" s="666"/>
      <c r="E597" s="667"/>
      <c r="F597" s="667"/>
      <c r="G597" s="668"/>
      <c r="H597" s="1408"/>
      <c r="I597" s="65"/>
      <c r="J597" s="66"/>
      <c r="K597" s="1407"/>
      <c r="L597" s="1409"/>
      <c r="M597" s="668"/>
    </row>
    <row r="598" spans="1:13" s="67" customFormat="1">
      <c r="A598" s="1406"/>
      <c r="B598" s="1407"/>
      <c r="C598" s="668"/>
      <c r="D598" s="666"/>
      <c r="E598" s="667"/>
      <c r="F598" s="667"/>
      <c r="G598" s="668"/>
      <c r="H598" s="1408"/>
      <c r="I598" s="65"/>
      <c r="J598" s="66"/>
      <c r="K598" s="1407"/>
      <c r="L598" s="1409"/>
      <c r="M598" s="668"/>
    </row>
    <row r="599" spans="1:13" s="67" customFormat="1">
      <c r="A599" s="1406"/>
      <c r="B599" s="1407"/>
      <c r="C599" s="668"/>
      <c r="D599" s="666"/>
      <c r="E599" s="667"/>
      <c r="F599" s="667"/>
      <c r="G599" s="668"/>
      <c r="H599" s="1408"/>
      <c r="I599" s="65"/>
      <c r="J599" s="66"/>
      <c r="K599" s="1407"/>
      <c r="L599" s="1409"/>
      <c r="M599" s="668"/>
    </row>
    <row r="600" spans="1:13" s="67" customFormat="1">
      <c r="A600" s="1406"/>
      <c r="B600" s="1407"/>
      <c r="C600" s="668"/>
      <c r="D600" s="666"/>
      <c r="E600" s="667"/>
      <c r="F600" s="667"/>
      <c r="G600" s="668"/>
      <c r="H600" s="1408"/>
      <c r="I600" s="65"/>
      <c r="J600" s="66"/>
      <c r="K600" s="1407"/>
      <c r="L600" s="1409"/>
      <c r="M600" s="668"/>
    </row>
    <row r="601" spans="1:13" s="67" customFormat="1">
      <c r="A601" s="1406"/>
      <c r="B601" s="1407"/>
      <c r="C601" s="668"/>
      <c r="D601" s="666"/>
      <c r="E601" s="667"/>
      <c r="F601" s="667"/>
      <c r="G601" s="668"/>
      <c r="H601" s="1408"/>
      <c r="I601" s="65"/>
      <c r="J601" s="66"/>
      <c r="K601" s="1407"/>
      <c r="L601" s="1409"/>
      <c r="M601" s="668"/>
    </row>
    <row r="602" spans="1:13" s="67" customFormat="1">
      <c r="A602" s="1406"/>
      <c r="B602" s="1407"/>
      <c r="C602" s="668"/>
      <c r="D602" s="666"/>
      <c r="E602" s="667"/>
      <c r="F602" s="667"/>
      <c r="G602" s="668"/>
      <c r="H602" s="1408"/>
      <c r="I602" s="65"/>
      <c r="J602" s="66"/>
      <c r="K602" s="1407"/>
      <c r="L602" s="1409"/>
      <c r="M602" s="668"/>
    </row>
    <row r="603" spans="1:13" s="67" customFormat="1">
      <c r="A603" s="1406"/>
      <c r="B603" s="1407"/>
      <c r="C603" s="668"/>
      <c r="D603" s="666"/>
      <c r="E603" s="667"/>
      <c r="F603" s="667"/>
      <c r="G603" s="668"/>
      <c r="H603" s="1408"/>
      <c r="I603" s="65"/>
      <c r="J603" s="66"/>
      <c r="K603" s="1407"/>
      <c r="L603" s="1409"/>
      <c r="M603" s="668"/>
    </row>
    <row r="604" spans="1:13" s="67" customFormat="1">
      <c r="A604" s="1406"/>
      <c r="B604" s="1407"/>
      <c r="C604" s="668"/>
      <c r="D604" s="666"/>
      <c r="E604" s="667"/>
      <c r="F604" s="667"/>
      <c r="G604" s="668"/>
      <c r="H604" s="1408"/>
      <c r="I604" s="65"/>
      <c r="J604" s="66"/>
      <c r="K604" s="1407"/>
      <c r="L604" s="1409"/>
      <c r="M604" s="668"/>
    </row>
    <row r="605" spans="1:13" s="67" customFormat="1">
      <c r="A605" s="1406"/>
      <c r="B605" s="1407"/>
      <c r="C605" s="668"/>
      <c r="D605" s="666"/>
      <c r="E605" s="667"/>
      <c r="F605" s="667"/>
      <c r="G605" s="668"/>
      <c r="H605" s="1408"/>
      <c r="I605" s="65"/>
      <c r="J605" s="66"/>
      <c r="K605" s="1407"/>
      <c r="L605" s="1409"/>
      <c r="M605" s="668"/>
    </row>
    <row r="606" spans="1:13" s="67" customFormat="1">
      <c r="A606" s="1406"/>
      <c r="B606" s="1407"/>
      <c r="C606" s="668"/>
      <c r="D606" s="666"/>
      <c r="E606" s="667"/>
      <c r="F606" s="667"/>
      <c r="G606" s="668"/>
      <c r="H606" s="1408"/>
      <c r="I606" s="65"/>
      <c r="J606" s="66"/>
      <c r="K606" s="1407"/>
      <c r="L606" s="1409"/>
      <c r="M606" s="668"/>
    </row>
    <row r="607" spans="1:13" s="67" customFormat="1">
      <c r="A607" s="1406"/>
      <c r="B607" s="1407"/>
      <c r="C607" s="668"/>
      <c r="D607" s="666"/>
      <c r="E607" s="667"/>
      <c r="F607" s="667"/>
      <c r="G607" s="668"/>
      <c r="H607" s="1408"/>
      <c r="I607" s="65"/>
      <c r="J607" s="66"/>
      <c r="K607" s="1407"/>
      <c r="L607" s="1409"/>
      <c r="M607" s="668"/>
    </row>
    <row r="608" spans="1:13" s="67" customFormat="1">
      <c r="A608" s="1406"/>
      <c r="B608" s="1407"/>
      <c r="C608" s="668"/>
      <c r="D608" s="666"/>
      <c r="E608" s="667"/>
      <c r="F608" s="667"/>
      <c r="G608" s="668"/>
      <c r="H608" s="1408"/>
      <c r="I608" s="65"/>
      <c r="J608" s="66"/>
      <c r="K608" s="1407"/>
      <c r="L608" s="1409"/>
      <c r="M608" s="668"/>
    </row>
    <row r="609" spans="1:13" s="67" customFormat="1">
      <c r="A609" s="1406"/>
      <c r="B609" s="1407"/>
      <c r="C609" s="668"/>
      <c r="D609" s="666"/>
      <c r="E609" s="667"/>
      <c r="F609" s="667"/>
      <c r="G609" s="668"/>
      <c r="H609" s="1408"/>
      <c r="I609" s="65"/>
      <c r="J609" s="66"/>
      <c r="K609" s="1407"/>
      <c r="L609" s="1409"/>
      <c r="M609" s="668"/>
    </row>
    <row r="610" spans="1:13" s="67" customFormat="1">
      <c r="A610" s="1406"/>
      <c r="B610" s="1407"/>
      <c r="C610" s="668"/>
      <c r="D610" s="666"/>
      <c r="E610" s="667"/>
      <c r="F610" s="667"/>
      <c r="G610" s="668"/>
      <c r="H610" s="1408"/>
      <c r="I610" s="65"/>
      <c r="J610" s="66"/>
      <c r="K610" s="1407"/>
      <c r="L610" s="1409"/>
      <c r="M610" s="668"/>
    </row>
    <row r="611" spans="1:13" s="67" customFormat="1">
      <c r="A611" s="1406"/>
      <c r="B611" s="1407"/>
      <c r="C611" s="668"/>
      <c r="D611" s="666"/>
      <c r="E611" s="667"/>
      <c r="F611" s="667"/>
      <c r="G611" s="668"/>
      <c r="H611" s="1408"/>
      <c r="I611" s="65"/>
      <c r="J611" s="66"/>
      <c r="K611" s="1407"/>
      <c r="L611" s="1409"/>
      <c r="M611" s="668"/>
    </row>
    <row r="612" spans="1:13" s="67" customFormat="1">
      <c r="A612" s="1406"/>
      <c r="B612" s="1407"/>
      <c r="C612" s="668"/>
      <c r="D612" s="666"/>
      <c r="E612" s="667"/>
      <c r="F612" s="667"/>
      <c r="G612" s="668"/>
      <c r="H612" s="1408"/>
      <c r="I612" s="65"/>
      <c r="J612" s="66"/>
      <c r="K612" s="1407"/>
      <c r="L612" s="1409"/>
      <c r="M612" s="668"/>
    </row>
    <row r="613" spans="1:13" s="67" customFormat="1">
      <c r="A613" s="1406"/>
      <c r="B613" s="1407"/>
      <c r="C613" s="668"/>
      <c r="D613" s="666"/>
      <c r="E613" s="667"/>
      <c r="F613" s="667"/>
      <c r="G613" s="668"/>
      <c r="H613" s="1408"/>
      <c r="I613" s="65"/>
      <c r="J613" s="66"/>
      <c r="K613" s="1407"/>
      <c r="L613" s="1409"/>
      <c r="M613" s="668"/>
    </row>
    <row r="614" spans="1:13" s="67" customFormat="1">
      <c r="A614" s="1406"/>
      <c r="B614" s="1407"/>
      <c r="C614" s="668"/>
      <c r="D614" s="666"/>
      <c r="E614" s="667"/>
      <c r="F614" s="667"/>
      <c r="G614" s="668"/>
      <c r="H614" s="1408"/>
      <c r="I614" s="65"/>
      <c r="J614" s="66"/>
      <c r="K614" s="1407"/>
      <c r="L614" s="1409"/>
      <c r="M614" s="668"/>
    </row>
    <row r="615" spans="1:13" s="67" customFormat="1">
      <c r="A615" s="1406"/>
      <c r="B615" s="1407"/>
      <c r="C615" s="668"/>
      <c r="D615" s="666"/>
      <c r="E615" s="667"/>
      <c r="F615" s="667"/>
      <c r="G615" s="668"/>
      <c r="H615" s="1408"/>
      <c r="I615" s="65"/>
      <c r="J615" s="66"/>
      <c r="K615" s="1407"/>
      <c r="L615" s="1409"/>
      <c r="M615" s="668"/>
    </row>
    <row r="616" spans="1:13" s="67" customFormat="1">
      <c r="A616" s="1406"/>
      <c r="B616" s="1407"/>
      <c r="C616" s="668"/>
      <c r="D616" s="666"/>
      <c r="E616" s="667"/>
      <c r="F616" s="667"/>
      <c r="G616" s="668"/>
      <c r="H616" s="1408"/>
      <c r="I616" s="65"/>
      <c r="J616" s="66"/>
      <c r="K616" s="1407"/>
      <c r="L616" s="1409"/>
      <c r="M616" s="668"/>
    </row>
    <row r="617" spans="1:13" s="67" customFormat="1">
      <c r="A617" s="1406"/>
      <c r="B617" s="1407"/>
      <c r="C617" s="668"/>
      <c r="D617" s="666"/>
      <c r="E617" s="667"/>
      <c r="F617" s="667"/>
      <c r="G617" s="668"/>
      <c r="H617" s="1408"/>
      <c r="I617" s="65"/>
      <c r="J617" s="66"/>
      <c r="K617" s="1407"/>
      <c r="L617" s="1409"/>
      <c r="M617" s="668"/>
    </row>
    <row r="618" spans="1:13" s="67" customFormat="1">
      <c r="A618" s="1406"/>
      <c r="B618" s="1407"/>
      <c r="C618" s="668"/>
      <c r="D618" s="666"/>
      <c r="E618" s="667"/>
      <c r="F618" s="667"/>
      <c r="G618" s="668"/>
      <c r="H618" s="1408"/>
      <c r="I618" s="65"/>
      <c r="J618" s="66"/>
      <c r="K618" s="1407"/>
      <c r="L618" s="1409"/>
      <c r="M618" s="668"/>
    </row>
    <row r="619" spans="1:13" s="67" customFormat="1">
      <c r="A619" s="1406"/>
      <c r="B619" s="1407"/>
      <c r="C619" s="668"/>
      <c r="D619" s="666"/>
      <c r="E619" s="667"/>
      <c r="F619" s="667"/>
      <c r="G619" s="668"/>
      <c r="H619" s="1408"/>
      <c r="I619" s="65"/>
      <c r="J619" s="66"/>
      <c r="K619" s="1407"/>
      <c r="L619" s="1409"/>
      <c r="M619" s="668"/>
    </row>
    <row r="620" spans="1:13" s="67" customFormat="1">
      <c r="A620" s="1406"/>
      <c r="B620" s="1407"/>
      <c r="C620" s="668"/>
      <c r="D620" s="666"/>
      <c r="E620" s="667"/>
      <c r="F620" s="667"/>
      <c r="G620" s="668"/>
      <c r="H620" s="1408"/>
      <c r="I620" s="65"/>
      <c r="J620" s="66"/>
      <c r="K620" s="1407"/>
      <c r="L620" s="1409"/>
      <c r="M620" s="668"/>
    </row>
    <row r="621" spans="1:13" s="67" customFormat="1">
      <c r="A621" s="1406"/>
      <c r="B621" s="1407"/>
      <c r="C621" s="668"/>
      <c r="D621" s="666"/>
      <c r="E621" s="667"/>
      <c r="F621" s="667"/>
      <c r="G621" s="668"/>
      <c r="H621" s="1408"/>
      <c r="I621" s="65"/>
      <c r="J621" s="66"/>
      <c r="K621" s="1407"/>
      <c r="L621" s="1409"/>
      <c r="M621" s="668"/>
    </row>
    <row r="622" spans="1:13" s="67" customFormat="1">
      <c r="A622" s="1406"/>
      <c r="B622" s="1407"/>
      <c r="C622" s="668"/>
      <c r="D622" s="666"/>
      <c r="E622" s="667"/>
      <c r="F622" s="667"/>
      <c r="G622" s="668"/>
      <c r="H622" s="1408"/>
      <c r="I622" s="65"/>
      <c r="J622" s="66"/>
      <c r="K622" s="1407"/>
      <c r="L622" s="1409"/>
      <c r="M622" s="668"/>
    </row>
    <row r="623" spans="1:13" s="67" customFormat="1">
      <c r="A623" s="1406"/>
      <c r="B623" s="1407"/>
      <c r="C623" s="668"/>
      <c r="D623" s="666"/>
      <c r="E623" s="667"/>
      <c r="F623" s="667"/>
      <c r="G623" s="668"/>
      <c r="H623" s="1408"/>
      <c r="I623" s="65"/>
      <c r="J623" s="66"/>
      <c r="K623" s="1407"/>
      <c r="L623" s="1409"/>
      <c r="M623" s="668"/>
    </row>
    <row r="624" spans="1:13" s="67" customFormat="1">
      <c r="A624" s="1406"/>
      <c r="B624" s="1407"/>
      <c r="C624" s="668"/>
      <c r="D624" s="666"/>
      <c r="E624" s="667"/>
      <c r="F624" s="667"/>
      <c r="G624" s="668"/>
      <c r="H624" s="1408"/>
      <c r="I624" s="65"/>
      <c r="J624" s="66"/>
      <c r="K624" s="1407"/>
      <c r="L624" s="1409"/>
      <c r="M624" s="668"/>
    </row>
    <row r="625" spans="1:13" s="67" customFormat="1">
      <c r="A625" s="1406"/>
      <c r="B625" s="1407"/>
      <c r="C625" s="668"/>
      <c r="D625" s="666"/>
      <c r="E625" s="667"/>
      <c r="F625" s="667"/>
      <c r="G625" s="668"/>
      <c r="H625" s="1408"/>
      <c r="I625" s="65"/>
      <c r="J625" s="66"/>
      <c r="K625" s="1407"/>
      <c r="L625" s="1409"/>
      <c r="M625" s="668"/>
    </row>
    <row r="626" spans="1:13" s="67" customFormat="1">
      <c r="A626" s="1406"/>
      <c r="B626" s="1407"/>
      <c r="C626" s="668"/>
      <c r="D626" s="666"/>
      <c r="E626" s="667"/>
      <c r="F626" s="667"/>
      <c r="G626" s="668"/>
      <c r="H626" s="1408"/>
      <c r="I626" s="65"/>
      <c r="J626" s="66"/>
      <c r="K626" s="1407"/>
      <c r="L626" s="1409"/>
      <c r="M626" s="668"/>
    </row>
    <row r="627" spans="1:13" s="67" customFormat="1">
      <c r="A627" s="1406"/>
      <c r="B627" s="1407"/>
      <c r="C627" s="668"/>
      <c r="D627" s="666"/>
      <c r="E627" s="667"/>
      <c r="F627" s="667"/>
      <c r="G627" s="668"/>
      <c r="H627" s="1408"/>
      <c r="I627" s="65"/>
      <c r="J627" s="66"/>
      <c r="K627" s="1407"/>
      <c r="L627" s="1409"/>
      <c r="M627" s="668"/>
    </row>
    <row r="628" spans="1:13" s="67" customFormat="1">
      <c r="A628" s="1406"/>
      <c r="B628" s="1407"/>
      <c r="C628" s="668"/>
      <c r="D628" s="666"/>
      <c r="E628" s="667"/>
      <c r="F628" s="667"/>
      <c r="G628" s="668"/>
      <c r="H628" s="1408"/>
      <c r="I628" s="65"/>
      <c r="J628" s="66"/>
      <c r="K628" s="1407"/>
      <c r="L628" s="1409"/>
      <c r="M628" s="668"/>
    </row>
    <row r="629" spans="1:13" s="67" customFormat="1">
      <c r="A629" s="1406"/>
      <c r="B629" s="1407"/>
      <c r="C629" s="668"/>
      <c r="D629" s="666"/>
      <c r="E629" s="667"/>
      <c r="F629" s="667"/>
      <c r="G629" s="668"/>
      <c r="H629" s="1408"/>
      <c r="I629" s="65"/>
      <c r="J629" s="66"/>
      <c r="K629" s="1407"/>
      <c r="L629" s="1409"/>
      <c r="M629" s="668"/>
    </row>
    <row r="630" spans="1:13" s="67" customFormat="1">
      <c r="A630" s="1406"/>
      <c r="B630" s="1407"/>
      <c r="C630" s="668"/>
      <c r="D630" s="666"/>
      <c r="E630" s="667"/>
      <c r="F630" s="667"/>
      <c r="G630" s="668"/>
      <c r="H630" s="1408"/>
      <c r="I630" s="65"/>
      <c r="J630" s="66"/>
      <c r="K630" s="1407"/>
      <c r="L630" s="1409"/>
      <c r="M630" s="668"/>
    </row>
    <row r="631" spans="1:13" s="67" customFormat="1">
      <c r="A631" s="1406"/>
      <c r="B631" s="1407"/>
      <c r="C631" s="668"/>
      <c r="D631" s="666"/>
      <c r="E631" s="667"/>
      <c r="F631" s="667"/>
      <c r="G631" s="668"/>
      <c r="H631" s="1408"/>
      <c r="I631" s="65"/>
      <c r="J631" s="66"/>
      <c r="K631" s="1407"/>
      <c r="L631" s="1409"/>
      <c r="M631" s="668"/>
    </row>
    <row r="632" spans="1:13" s="67" customFormat="1">
      <c r="A632" s="1406"/>
      <c r="B632" s="1407"/>
      <c r="C632" s="668"/>
      <c r="D632" s="666"/>
      <c r="E632" s="667"/>
      <c r="F632" s="667"/>
      <c r="G632" s="668"/>
      <c r="H632" s="1408"/>
      <c r="I632" s="65"/>
      <c r="J632" s="66"/>
      <c r="K632" s="1407"/>
      <c r="L632" s="1409"/>
      <c r="M632" s="668"/>
    </row>
    <row r="633" spans="1:13" s="67" customFormat="1">
      <c r="A633" s="1406"/>
      <c r="B633" s="1407"/>
      <c r="C633" s="668"/>
      <c r="D633" s="666"/>
      <c r="E633" s="667"/>
      <c r="F633" s="667"/>
      <c r="G633" s="668"/>
      <c r="H633" s="1408"/>
      <c r="I633" s="65"/>
      <c r="J633" s="66"/>
      <c r="K633" s="1407"/>
      <c r="L633" s="1409"/>
      <c r="M633" s="668"/>
    </row>
    <row r="634" spans="1:13" s="67" customFormat="1">
      <c r="A634" s="1406"/>
      <c r="B634" s="1407"/>
      <c r="C634" s="668"/>
      <c r="D634" s="666"/>
      <c r="E634" s="667"/>
      <c r="F634" s="667"/>
      <c r="G634" s="668"/>
      <c r="H634" s="1408"/>
      <c r="I634" s="65"/>
      <c r="J634" s="66"/>
      <c r="K634" s="1407"/>
      <c r="L634" s="1409"/>
      <c r="M634" s="668"/>
    </row>
    <row r="635" spans="1:13" s="67" customFormat="1">
      <c r="A635" s="1406"/>
      <c r="B635" s="1407"/>
      <c r="C635" s="668"/>
      <c r="D635" s="666"/>
      <c r="E635" s="667"/>
      <c r="F635" s="667"/>
      <c r="G635" s="668"/>
      <c r="H635" s="1408"/>
      <c r="I635" s="65"/>
      <c r="J635" s="66"/>
      <c r="K635" s="1407"/>
      <c r="L635" s="1409"/>
      <c r="M635" s="668"/>
    </row>
    <row r="636" spans="1:13" s="67" customFormat="1">
      <c r="A636" s="1406"/>
      <c r="B636" s="1407"/>
      <c r="C636" s="668"/>
      <c r="D636" s="666"/>
      <c r="E636" s="667"/>
      <c r="F636" s="667"/>
      <c r="G636" s="668"/>
      <c r="H636" s="1408"/>
      <c r="I636" s="65"/>
      <c r="J636" s="66"/>
      <c r="K636" s="1407"/>
      <c r="L636" s="1409"/>
      <c r="M636" s="668"/>
    </row>
    <row r="637" spans="1:13" s="67" customFormat="1">
      <c r="A637" s="1406"/>
      <c r="B637" s="1407"/>
      <c r="C637" s="668"/>
      <c r="D637" s="666"/>
      <c r="E637" s="667"/>
      <c r="F637" s="667"/>
      <c r="G637" s="668"/>
      <c r="H637" s="1408"/>
      <c r="I637" s="65"/>
      <c r="J637" s="66"/>
      <c r="K637" s="1407"/>
      <c r="L637" s="1409"/>
      <c r="M637" s="668"/>
    </row>
    <row r="638" spans="1:13" s="67" customFormat="1">
      <c r="A638" s="1406"/>
      <c r="B638" s="1407"/>
      <c r="C638" s="668"/>
      <c r="D638" s="666"/>
      <c r="E638" s="667"/>
      <c r="F638" s="667"/>
      <c r="G638" s="668"/>
      <c r="H638" s="1408"/>
      <c r="I638" s="65"/>
      <c r="J638" s="66"/>
      <c r="K638" s="1407"/>
      <c r="L638" s="1409"/>
      <c r="M638" s="668"/>
    </row>
    <row r="639" spans="1:13" s="67" customFormat="1">
      <c r="A639" s="1406"/>
      <c r="B639" s="1407"/>
      <c r="C639" s="668"/>
      <c r="D639" s="666"/>
      <c r="E639" s="667"/>
      <c r="F639" s="667"/>
      <c r="G639" s="668"/>
      <c r="H639" s="1408"/>
      <c r="I639" s="65"/>
      <c r="J639" s="66"/>
      <c r="K639" s="1407"/>
      <c r="L639" s="1409"/>
      <c r="M639" s="668"/>
    </row>
    <row r="640" spans="1:13" s="67" customFormat="1">
      <c r="A640" s="1406"/>
      <c r="B640" s="1407"/>
      <c r="C640" s="668"/>
      <c r="D640" s="666"/>
      <c r="E640" s="667"/>
      <c r="F640" s="667"/>
      <c r="G640" s="668"/>
      <c r="H640" s="1408"/>
      <c r="I640" s="65"/>
      <c r="J640" s="66"/>
      <c r="K640" s="1407"/>
      <c r="L640" s="1409"/>
      <c r="M640" s="668"/>
    </row>
    <row r="641" spans="1:13" s="67" customFormat="1">
      <c r="A641" s="1406"/>
      <c r="B641" s="1407"/>
      <c r="C641" s="668"/>
      <c r="D641" s="666"/>
      <c r="E641" s="667"/>
      <c r="F641" s="667"/>
      <c r="G641" s="668"/>
      <c r="H641" s="1408"/>
      <c r="I641" s="65"/>
      <c r="J641" s="66"/>
      <c r="K641" s="1407"/>
      <c r="L641" s="1409"/>
      <c r="M641" s="668"/>
    </row>
    <row r="642" spans="1:13" s="67" customFormat="1">
      <c r="A642" s="1406"/>
      <c r="B642" s="1407"/>
      <c r="C642" s="668"/>
      <c r="D642" s="666"/>
      <c r="E642" s="667"/>
      <c r="F642" s="667"/>
      <c r="G642" s="668"/>
      <c r="H642" s="1408"/>
      <c r="I642" s="65"/>
      <c r="J642" s="66"/>
      <c r="K642" s="1407"/>
      <c r="L642" s="1409"/>
      <c r="M642" s="668"/>
    </row>
    <row r="643" spans="1:13" s="67" customFormat="1">
      <c r="A643" s="1406"/>
      <c r="B643" s="1407"/>
      <c r="C643" s="668"/>
      <c r="D643" s="666"/>
      <c r="E643" s="667"/>
      <c r="F643" s="667"/>
      <c r="G643" s="668"/>
      <c r="H643" s="1408"/>
      <c r="I643" s="65"/>
      <c r="J643" s="66"/>
      <c r="K643" s="1407"/>
      <c r="L643" s="1409"/>
      <c r="M643" s="668"/>
    </row>
    <row r="644" spans="1:13" s="67" customFormat="1">
      <c r="A644" s="1406"/>
      <c r="B644" s="1407"/>
      <c r="C644" s="668"/>
      <c r="D644" s="666"/>
      <c r="E644" s="667"/>
      <c r="F644" s="667"/>
      <c r="G644" s="668"/>
      <c r="H644" s="1408"/>
      <c r="I644" s="65"/>
      <c r="J644" s="66"/>
      <c r="K644" s="1407"/>
      <c r="L644" s="1409"/>
      <c r="M644" s="668"/>
    </row>
    <row r="645" spans="1:13" s="67" customFormat="1">
      <c r="A645" s="1406"/>
      <c r="B645" s="1407"/>
      <c r="C645" s="668"/>
      <c r="D645" s="666"/>
      <c r="E645" s="667"/>
      <c r="F645" s="667"/>
      <c r="G645" s="668"/>
      <c r="H645" s="1408"/>
      <c r="I645" s="65"/>
      <c r="J645" s="66"/>
      <c r="K645" s="1407"/>
      <c r="L645" s="1409"/>
      <c r="M645" s="668"/>
    </row>
    <row r="646" spans="1:13" s="67" customFormat="1">
      <c r="A646" s="1406"/>
      <c r="B646" s="1407"/>
      <c r="C646" s="668"/>
      <c r="D646" s="666"/>
      <c r="E646" s="667"/>
      <c r="F646" s="667"/>
      <c r="G646" s="668"/>
      <c r="H646" s="1408"/>
      <c r="I646" s="65"/>
      <c r="J646" s="66"/>
      <c r="K646" s="1407"/>
      <c r="L646" s="1409"/>
      <c r="M646" s="668"/>
    </row>
    <row r="647" spans="1:13" s="67" customFormat="1">
      <c r="A647" s="1406"/>
      <c r="B647" s="1407"/>
      <c r="C647" s="668"/>
      <c r="D647" s="666"/>
      <c r="E647" s="667"/>
      <c r="F647" s="667"/>
      <c r="G647" s="668"/>
      <c r="H647" s="1408"/>
      <c r="I647" s="65"/>
      <c r="J647" s="66"/>
      <c r="K647" s="1407"/>
      <c r="L647" s="1409"/>
      <c r="M647" s="668"/>
    </row>
    <row r="648" spans="1:13" s="67" customFormat="1">
      <c r="A648" s="1406"/>
      <c r="B648" s="1407"/>
      <c r="C648" s="668"/>
      <c r="D648" s="666"/>
      <c r="E648" s="667"/>
      <c r="F648" s="667"/>
      <c r="G648" s="668"/>
      <c r="H648" s="1408"/>
      <c r="I648" s="65"/>
      <c r="J648" s="66"/>
      <c r="K648" s="1407"/>
      <c r="L648" s="1409"/>
      <c r="M648" s="668"/>
    </row>
    <row r="649" spans="1:13" s="67" customFormat="1">
      <c r="A649" s="1406"/>
      <c r="B649" s="1407"/>
      <c r="C649" s="668"/>
      <c r="D649" s="666"/>
      <c r="E649" s="667"/>
      <c r="F649" s="667"/>
      <c r="G649" s="668"/>
      <c r="H649" s="1408"/>
      <c r="I649" s="65"/>
      <c r="J649" s="66"/>
      <c r="K649" s="1407"/>
      <c r="L649" s="1409"/>
      <c r="M649" s="668"/>
    </row>
    <row r="650" spans="1:13" s="67" customFormat="1">
      <c r="A650" s="1406"/>
      <c r="B650" s="1407"/>
      <c r="C650" s="668"/>
      <c r="D650" s="666"/>
      <c r="E650" s="667"/>
      <c r="F650" s="667"/>
      <c r="G650" s="668"/>
      <c r="H650" s="1408"/>
      <c r="I650" s="65"/>
      <c r="J650" s="66"/>
      <c r="K650" s="1407"/>
      <c r="L650" s="1409"/>
      <c r="M650" s="668"/>
    </row>
    <row r="651" spans="1:13" s="67" customFormat="1">
      <c r="A651" s="1406"/>
      <c r="B651" s="1407"/>
      <c r="C651" s="668"/>
      <c r="D651" s="666"/>
      <c r="E651" s="667"/>
      <c r="F651" s="667"/>
      <c r="G651" s="668"/>
      <c r="H651" s="1408"/>
      <c r="I651" s="65"/>
      <c r="J651" s="66"/>
      <c r="K651" s="1407"/>
      <c r="L651" s="1409"/>
      <c r="M651" s="668"/>
    </row>
    <row r="652" spans="1:13" s="67" customFormat="1">
      <c r="A652" s="1406"/>
      <c r="B652" s="1407"/>
      <c r="C652" s="668"/>
      <c r="D652" s="666"/>
      <c r="E652" s="667"/>
      <c r="F652" s="667"/>
      <c r="G652" s="668"/>
      <c r="H652" s="1408"/>
      <c r="I652" s="65"/>
      <c r="J652" s="66"/>
      <c r="K652" s="1407"/>
      <c r="L652" s="1409"/>
      <c r="M652" s="668"/>
    </row>
    <row r="653" spans="1:13" s="67" customFormat="1">
      <c r="A653" s="1406"/>
      <c r="B653" s="1407"/>
      <c r="C653" s="668"/>
      <c r="D653" s="666"/>
      <c r="E653" s="667"/>
      <c r="F653" s="667"/>
      <c r="G653" s="668"/>
      <c r="H653" s="1408"/>
      <c r="I653" s="65"/>
      <c r="J653" s="66"/>
      <c r="K653" s="1407"/>
      <c r="L653" s="1409"/>
      <c r="M653" s="668"/>
    </row>
    <row r="654" spans="1:13" s="67" customFormat="1">
      <c r="A654" s="1406"/>
      <c r="B654" s="1407"/>
      <c r="C654" s="668"/>
      <c r="D654" s="666"/>
      <c r="E654" s="667"/>
      <c r="F654" s="667"/>
      <c r="G654" s="668"/>
      <c r="H654" s="1408"/>
      <c r="I654" s="65"/>
      <c r="J654" s="66"/>
      <c r="K654" s="1407"/>
      <c r="L654" s="1409"/>
      <c r="M654" s="668"/>
    </row>
    <row r="655" spans="1:13" s="67" customFormat="1">
      <c r="A655" s="1406"/>
      <c r="B655" s="1407"/>
      <c r="C655" s="668"/>
      <c r="D655" s="666"/>
      <c r="E655" s="667"/>
      <c r="F655" s="667"/>
      <c r="G655" s="668"/>
      <c r="H655" s="1408"/>
      <c r="I655" s="65"/>
      <c r="J655" s="66"/>
      <c r="K655" s="1407"/>
      <c r="L655" s="1409"/>
      <c r="M655" s="668"/>
    </row>
    <row r="656" spans="1:13" s="67" customFormat="1">
      <c r="A656" s="1406"/>
      <c r="B656" s="1407"/>
      <c r="C656" s="668"/>
      <c r="D656" s="666"/>
      <c r="E656" s="667"/>
      <c r="F656" s="667"/>
      <c r="G656" s="668"/>
      <c r="H656" s="1408"/>
      <c r="I656" s="65"/>
      <c r="J656" s="66"/>
      <c r="K656" s="1407"/>
      <c r="L656" s="1409"/>
      <c r="M656" s="668"/>
    </row>
    <row r="657" spans="1:13" s="67" customFormat="1">
      <c r="A657" s="1406"/>
      <c r="B657" s="1407"/>
      <c r="C657" s="668"/>
      <c r="D657" s="666"/>
      <c r="E657" s="667"/>
      <c r="F657" s="667"/>
      <c r="G657" s="668"/>
      <c r="H657" s="1408"/>
      <c r="I657" s="65"/>
      <c r="J657" s="66"/>
      <c r="K657" s="1407"/>
      <c r="L657" s="1409"/>
      <c r="M657" s="668"/>
    </row>
    <row r="658" spans="1:13" s="67" customFormat="1">
      <c r="A658" s="1406"/>
      <c r="B658" s="1407"/>
      <c r="C658" s="668"/>
      <c r="D658" s="666"/>
      <c r="E658" s="667"/>
      <c r="F658" s="667"/>
      <c r="G658" s="668"/>
      <c r="H658" s="1408"/>
      <c r="I658" s="65"/>
      <c r="J658" s="66"/>
      <c r="K658" s="1407"/>
      <c r="L658" s="1409"/>
      <c r="M658" s="668"/>
    </row>
    <row r="659" spans="1:13" s="67" customFormat="1">
      <c r="A659" s="1406"/>
      <c r="B659" s="1407"/>
      <c r="C659" s="668"/>
      <c r="D659" s="666"/>
      <c r="E659" s="667"/>
      <c r="F659" s="667"/>
      <c r="G659" s="668"/>
      <c r="H659" s="1408"/>
      <c r="I659" s="65"/>
      <c r="J659" s="66"/>
      <c r="K659" s="1407"/>
      <c r="L659" s="1409"/>
      <c r="M659" s="668"/>
    </row>
    <row r="660" spans="1:13" s="67" customFormat="1">
      <c r="A660" s="1406"/>
      <c r="B660" s="1407"/>
      <c r="C660" s="668"/>
      <c r="D660" s="666"/>
      <c r="E660" s="667"/>
      <c r="F660" s="667"/>
      <c r="G660" s="668"/>
      <c r="H660" s="1408"/>
      <c r="I660" s="65"/>
      <c r="J660" s="66"/>
      <c r="K660" s="1407"/>
      <c r="L660" s="1409"/>
      <c r="M660" s="668"/>
    </row>
    <row r="661" spans="1:13" s="67" customFormat="1">
      <c r="A661" s="1406"/>
      <c r="B661" s="1407"/>
      <c r="C661" s="668"/>
      <c r="D661" s="666"/>
      <c r="E661" s="667"/>
      <c r="F661" s="667"/>
      <c r="G661" s="668"/>
      <c r="H661" s="1408"/>
      <c r="I661" s="65"/>
      <c r="J661" s="66"/>
      <c r="K661" s="1407"/>
      <c r="L661" s="1409"/>
      <c r="M661" s="668"/>
    </row>
    <row r="662" spans="1:13" s="67" customFormat="1">
      <c r="A662" s="1406"/>
      <c r="B662" s="1407"/>
      <c r="C662" s="668"/>
      <c r="D662" s="666"/>
      <c r="E662" s="667"/>
      <c r="F662" s="667"/>
      <c r="G662" s="668"/>
      <c r="H662" s="1408"/>
      <c r="I662" s="65"/>
      <c r="J662" s="66"/>
      <c r="K662" s="1407"/>
      <c r="L662" s="1409"/>
      <c r="M662" s="668"/>
    </row>
    <row r="663" spans="1:13" s="67" customFormat="1">
      <c r="A663" s="1406"/>
      <c r="B663" s="1407"/>
      <c r="C663" s="668"/>
      <c r="D663" s="666"/>
      <c r="E663" s="667"/>
      <c r="F663" s="667"/>
      <c r="G663" s="668"/>
      <c r="H663" s="1408"/>
      <c r="I663" s="65"/>
      <c r="J663" s="66"/>
      <c r="K663" s="1407"/>
      <c r="L663" s="1409"/>
      <c r="M663" s="668"/>
    </row>
    <row r="664" spans="1:13" s="67" customFormat="1">
      <c r="A664" s="1406"/>
      <c r="B664" s="1407"/>
      <c r="C664" s="668"/>
      <c r="D664" s="666"/>
      <c r="E664" s="667"/>
      <c r="F664" s="667"/>
      <c r="G664" s="668"/>
      <c r="H664" s="1408"/>
      <c r="I664" s="65"/>
      <c r="J664" s="66"/>
      <c r="K664" s="1407"/>
      <c r="L664" s="1409"/>
      <c r="M664" s="668"/>
    </row>
    <row r="665" spans="1:13" s="67" customFormat="1">
      <c r="A665" s="1406"/>
      <c r="B665" s="1407"/>
      <c r="C665" s="668"/>
      <c r="D665" s="666"/>
      <c r="E665" s="667"/>
      <c r="F665" s="667"/>
      <c r="G665" s="668"/>
      <c r="H665" s="1408"/>
      <c r="I665" s="65"/>
      <c r="J665" s="66"/>
      <c r="K665" s="1407"/>
      <c r="L665" s="1409"/>
      <c r="M665" s="668"/>
    </row>
    <row r="666" spans="1:13" s="67" customFormat="1">
      <c r="A666" s="1406"/>
      <c r="B666" s="1407"/>
      <c r="C666" s="668"/>
      <c r="D666" s="666"/>
      <c r="E666" s="667"/>
      <c r="F666" s="667"/>
      <c r="G666" s="668"/>
      <c r="H666" s="1408"/>
      <c r="I666" s="65"/>
      <c r="J666" s="66"/>
      <c r="K666" s="1407"/>
      <c r="L666" s="1409"/>
      <c r="M666" s="668"/>
    </row>
    <row r="667" spans="1:13" s="67" customFormat="1">
      <c r="A667" s="1406"/>
      <c r="B667" s="1407"/>
      <c r="C667" s="668"/>
      <c r="D667" s="666"/>
      <c r="E667" s="667"/>
      <c r="F667" s="667"/>
      <c r="G667" s="668"/>
      <c r="H667" s="1408"/>
      <c r="I667" s="65"/>
      <c r="J667" s="66"/>
      <c r="K667" s="1407"/>
      <c r="L667" s="1409"/>
      <c r="M667" s="668"/>
    </row>
    <row r="668" spans="1:13" s="67" customFormat="1">
      <c r="A668" s="1406"/>
      <c r="B668" s="1407"/>
      <c r="C668" s="668"/>
      <c r="D668" s="666"/>
      <c r="E668" s="667"/>
      <c r="F668" s="667"/>
      <c r="G668" s="668"/>
      <c r="H668" s="1408"/>
      <c r="I668" s="65"/>
      <c r="J668" s="66"/>
      <c r="K668" s="1407"/>
      <c r="L668" s="1409"/>
      <c r="M668" s="668"/>
    </row>
    <row r="669" spans="1:13" s="67" customFormat="1">
      <c r="A669" s="1406"/>
      <c r="B669" s="1407"/>
      <c r="C669" s="668"/>
      <c r="D669" s="666"/>
      <c r="E669" s="667"/>
      <c r="F669" s="667"/>
      <c r="G669" s="668"/>
      <c r="H669" s="1408"/>
      <c r="I669" s="65"/>
      <c r="J669" s="66"/>
      <c r="K669" s="1407"/>
      <c r="L669" s="1409"/>
      <c r="M669" s="668"/>
    </row>
    <row r="670" spans="1:13" s="67" customFormat="1">
      <c r="A670" s="1406"/>
      <c r="B670" s="1407"/>
      <c r="C670" s="668"/>
      <c r="D670" s="666"/>
      <c r="E670" s="667"/>
      <c r="F670" s="667"/>
      <c r="G670" s="668"/>
      <c r="H670" s="1408"/>
      <c r="I670" s="65"/>
      <c r="J670" s="66"/>
      <c r="K670" s="1407"/>
      <c r="L670" s="1409"/>
      <c r="M670" s="668"/>
    </row>
    <row r="671" spans="1:13" s="67" customFormat="1">
      <c r="A671" s="1406"/>
      <c r="B671" s="1407"/>
      <c r="C671" s="668"/>
      <c r="D671" s="666"/>
      <c r="E671" s="667"/>
      <c r="F671" s="667"/>
      <c r="G671" s="668"/>
      <c r="H671" s="1408"/>
      <c r="I671" s="65"/>
      <c r="J671" s="66"/>
      <c r="K671" s="1407"/>
      <c r="L671" s="1409"/>
      <c r="M671" s="668"/>
    </row>
    <row r="672" spans="1:13" s="67" customFormat="1">
      <c r="A672" s="1406"/>
      <c r="B672" s="1407"/>
      <c r="C672" s="668"/>
      <c r="D672" s="666"/>
      <c r="E672" s="667"/>
      <c r="F672" s="667"/>
      <c r="G672" s="668"/>
      <c r="H672" s="1408"/>
      <c r="I672" s="65"/>
      <c r="J672" s="66"/>
      <c r="K672" s="1407"/>
      <c r="L672" s="1409"/>
      <c r="M672" s="668"/>
    </row>
    <row r="673" spans="1:13" s="67" customFormat="1">
      <c r="A673" s="1406"/>
      <c r="B673" s="1407"/>
      <c r="C673" s="668"/>
      <c r="D673" s="666"/>
      <c r="E673" s="667"/>
      <c r="F673" s="667"/>
      <c r="G673" s="668"/>
      <c r="H673" s="1408"/>
      <c r="I673" s="65"/>
      <c r="J673" s="66"/>
      <c r="K673" s="1407"/>
      <c r="L673" s="1409"/>
      <c r="M673" s="668"/>
    </row>
    <row r="674" spans="1:13" s="67" customFormat="1">
      <c r="A674" s="1406"/>
      <c r="B674" s="1407"/>
      <c r="C674" s="668"/>
      <c r="D674" s="666"/>
      <c r="E674" s="667"/>
      <c r="F674" s="667"/>
      <c r="G674" s="668"/>
      <c r="H674" s="1408"/>
      <c r="I674" s="65"/>
      <c r="J674" s="66"/>
      <c r="K674" s="1407"/>
      <c r="L674" s="1409"/>
      <c r="M674" s="668"/>
    </row>
    <row r="675" spans="1:13" s="67" customFormat="1">
      <c r="A675" s="1406"/>
      <c r="B675" s="1407"/>
      <c r="C675" s="668"/>
      <c r="D675" s="666"/>
      <c r="E675" s="667"/>
      <c r="F675" s="667"/>
      <c r="G675" s="668"/>
      <c r="H675" s="1408"/>
      <c r="I675" s="65"/>
      <c r="J675" s="66"/>
      <c r="K675" s="1407"/>
      <c r="L675" s="1409"/>
      <c r="M675" s="668"/>
    </row>
    <row r="676" spans="1:13" s="67" customFormat="1">
      <c r="A676" s="1406"/>
      <c r="B676" s="1407"/>
      <c r="C676" s="668"/>
      <c r="D676" s="666"/>
      <c r="E676" s="667"/>
      <c r="F676" s="667"/>
      <c r="G676" s="668"/>
      <c r="H676" s="1408"/>
      <c r="I676" s="65"/>
      <c r="J676" s="66"/>
      <c r="K676" s="1407"/>
      <c r="L676" s="1409"/>
      <c r="M676" s="668"/>
    </row>
    <row r="677" spans="1:13" s="67" customFormat="1">
      <c r="A677" s="1406"/>
      <c r="B677" s="1407"/>
      <c r="C677" s="668"/>
      <c r="D677" s="666"/>
      <c r="E677" s="667"/>
      <c r="F677" s="667"/>
      <c r="G677" s="668"/>
      <c r="H677" s="1408"/>
      <c r="I677" s="65"/>
      <c r="J677" s="66"/>
      <c r="K677" s="1407"/>
      <c r="L677" s="1409"/>
      <c r="M677" s="668"/>
    </row>
    <row r="678" spans="1:13" s="67" customFormat="1">
      <c r="A678" s="1406"/>
      <c r="B678" s="1407"/>
      <c r="C678" s="668"/>
      <c r="D678" s="666"/>
      <c r="E678" s="667"/>
      <c r="F678" s="667"/>
      <c r="G678" s="668"/>
      <c r="H678" s="1408"/>
      <c r="I678" s="65"/>
      <c r="J678" s="66"/>
      <c r="K678" s="1407"/>
      <c r="L678" s="1409"/>
      <c r="M678" s="668"/>
    </row>
    <row r="679" spans="1:13" s="67" customFormat="1">
      <c r="A679" s="1406"/>
      <c r="B679" s="1407"/>
      <c r="C679" s="668"/>
      <c r="D679" s="666"/>
      <c r="E679" s="667"/>
      <c r="F679" s="667"/>
      <c r="G679" s="668"/>
      <c r="H679" s="1408"/>
      <c r="I679" s="65"/>
      <c r="J679" s="66"/>
      <c r="K679" s="1407"/>
      <c r="L679" s="1409"/>
      <c r="M679" s="668"/>
    </row>
    <row r="680" spans="1:13" s="67" customFormat="1">
      <c r="A680" s="1406"/>
      <c r="B680" s="1407"/>
      <c r="C680" s="668"/>
      <c r="D680" s="666"/>
      <c r="E680" s="667"/>
      <c r="F680" s="667"/>
      <c r="G680" s="668"/>
      <c r="H680" s="1408"/>
      <c r="I680" s="65"/>
      <c r="J680" s="66"/>
      <c r="K680" s="1407"/>
      <c r="L680" s="1409"/>
      <c r="M680" s="668"/>
    </row>
    <row r="681" spans="1:13" s="67" customFormat="1">
      <c r="A681" s="1406"/>
      <c r="B681" s="1407"/>
      <c r="C681" s="668"/>
      <c r="D681" s="666"/>
      <c r="E681" s="667"/>
      <c r="F681" s="667"/>
      <c r="G681" s="668"/>
      <c r="H681" s="1408"/>
      <c r="I681" s="65"/>
      <c r="J681" s="66"/>
      <c r="K681" s="1407"/>
      <c r="L681" s="1409"/>
      <c r="M681" s="668"/>
    </row>
    <row r="682" spans="1:13" s="67" customFormat="1">
      <c r="A682" s="1406"/>
      <c r="B682" s="1407"/>
      <c r="C682" s="668"/>
      <c r="D682" s="666"/>
      <c r="E682" s="667"/>
      <c r="F682" s="667"/>
      <c r="G682" s="668"/>
      <c r="H682" s="1408"/>
      <c r="I682" s="65"/>
      <c r="J682" s="66"/>
      <c r="K682" s="1407"/>
      <c r="L682" s="1409"/>
      <c r="M682" s="668"/>
    </row>
    <row r="683" spans="1:13" s="67" customFormat="1">
      <c r="A683" s="1406"/>
      <c r="B683" s="1407"/>
      <c r="C683" s="668"/>
      <c r="D683" s="666"/>
      <c r="E683" s="667"/>
      <c r="F683" s="667"/>
      <c r="G683" s="668"/>
      <c r="H683" s="1408"/>
      <c r="I683" s="65"/>
      <c r="J683" s="66"/>
      <c r="K683" s="1407"/>
      <c r="L683" s="1409"/>
      <c r="M683" s="668"/>
    </row>
    <row r="684" spans="1:13" s="67" customFormat="1">
      <c r="A684" s="1406"/>
      <c r="B684" s="1407"/>
      <c r="C684" s="668"/>
      <c r="D684" s="666"/>
      <c r="E684" s="667"/>
      <c r="F684" s="667"/>
      <c r="G684" s="668"/>
      <c r="H684" s="1408"/>
      <c r="I684" s="65"/>
      <c r="J684" s="66"/>
      <c r="K684" s="1407"/>
      <c r="L684" s="1409"/>
      <c r="M684" s="668"/>
    </row>
    <row r="685" spans="1:13" s="67" customFormat="1">
      <c r="A685" s="1406"/>
      <c r="B685" s="1407"/>
      <c r="C685" s="668"/>
      <c r="D685" s="666"/>
      <c r="E685" s="667"/>
      <c r="F685" s="667"/>
      <c r="G685" s="668"/>
      <c r="H685" s="1408"/>
      <c r="I685" s="65"/>
      <c r="J685" s="66"/>
      <c r="K685" s="1407"/>
      <c r="L685" s="1409"/>
      <c r="M685" s="668"/>
    </row>
    <row r="686" spans="1:13" s="67" customFormat="1">
      <c r="A686" s="1406"/>
      <c r="B686" s="1407"/>
      <c r="C686" s="668"/>
      <c r="D686" s="666"/>
      <c r="E686" s="667"/>
      <c r="F686" s="667"/>
      <c r="G686" s="668"/>
      <c r="H686" s="1408"/>
      <c r="I686" s="65"/>
      <c r="J686" s="66"/>
      <c r="K686" s="1407"/>
      <c r="L686" s="1409"/>
      <c r="M686" s="668"/>
    </row>
    <row r="687" spans="1:13" s="67" customFormat="1">
      <c r="A687" s="1406"/>
      <c r="B687" s="1407"/>
      <c r="C687" s="668"/>
      <c r="D687" s="666"/>
      <c r="E687" s="667"/>
      <c r="F687" s="667"/>
      <c r="G687" s="668"/>
      <c r="H687" s="1408"/>
      <c r="I687" s="65"/>
      <c r="J687" s="66"/>
      <c r="K687" s="1407"/>
      <c r="L687" s="1409"/>
      <c r="M687" s="668"/>
    </row>
    <row r="688" spans="1:13" s="67" customFormat="1">
      <c r="A688" s="1406"/>
      <c r="B688" s="1407"/>
      <c r="C688" s="668"/>
      <c r="D688" s="666"/>
      <c r="E688" s="667"/>
      <c r="F688" s="667"/>
      <c r="G688" s="668"/>
      <c r="H688" s="1408"/>
      <c r="I688" s="65"/>
      <c r="J688" s="66"/>
      <c r="K688" s="1407"/>
      <c r="L688" s="1409"/>
      <c r="M688" s="668"/>
    </row>
    <row r="689" spans="1:13" s="67" customFormat="1">
      <c r="A689" s="1406"/>
      <c r="B689" s="1407"/>
      <c r="C689" s="668"/>
      <c r="D689" s="666"/>
      <c r="E689" s="667"/>
      <c r="F689" s="667"/>
      <c r="G689" s="668"/>
      <c r="H689" s="1408"/>
      <c r="I689" s="65"/>
      <c r="J689" s="66"/>
      <c r="K689" s="1407"/>
      <c r="L689" s="1409"/>
      <c r="M689" s="668"/>
    </row>
    <row r="690" spans="1:13" s="67" customFormat="1">
      <c r="A690" s="1406"/>
      <c r="B690" s="1407"/>
      <c r="C690" s="668"/>
      <c r="D690" s="666"/>
      <c r="E690" s="667"/>
      <c r="F690" s="667"/>
      <c r="G690" s="668"/>
      <c r="H690" s="1408"/>
      <c r="I690" s="65"/>
      <c r="J690" s="66"/>
      <c r="K690" s="1407"/>
      <c r="L690" s="1409"/>
      <c r="M690" s="668"/>
    </row>
    <row r="691" spans="1:13" s="67" customFormat="1">
      <c r="A691" s="1406"/>
      <c r="B691" s="1407"/>
      <c r="C691" s="668"/>
      <c r="D691" s="666"/>
      <c r="E691" s="667"/>
      <c r="F691" s="667"/>
      <c r="G691" s="668"/>
      <c r="H691" s="1408"/>
      <c r="I691" s="65"/>
      <c r="J691" s="66"/>
      <c r="K691" s="1407"/>
      <c r="L691" s="1409"/>
      <c r="M691" s="668"/>
    </row>
    <row r="692" spans="1:13" s="67" customFormat="1">
      <c r="A692" s="1406"/>
      <c r="B692" s="1407"/>
      <c r="C692" s="668"/>
      <c r="D692" s="666"/>
      <c r="E692" s="667"/>
      <c r="F692" s="667"/>
      <c r="G692" s="668"/>
      <c r="H692" s="1408"/>
      <c r="I692" s="65"/>
      <c r="J692" s="66"/>
      <c r="K692" s="1407"/>
      <c r="L692" s="1409"/>
      <c r="M692" s="668"/>
    </row>
    <row r="693" spans="1:13" s="67" customFormat="1">
      <c r="A693" s="1406"/>
      <c r="B693" s="1407"/>
      <c r="C693" s="668"/>
      <c r="D693" s="666"/>
      <c r="E693" s="667"/>
      <c r="F693" s="667"/>
      <c r="G693" s="668"/>
      <c r="H693" s="1408"/>
      <c r="I693" s="65"/>
      <c r="J693" s="66"/>
      <c r="K693" s="1407"/>
      <c r="L693" s="1409"/>
      <c r="M693" s="668"/>
    </row>
    <row r="694" spans="1:13" s="67" customFormat="1">
      <c r="A694" s="1406"/>
      <c r="B694" s="1407"/>
      <c r="C694" s="668"/>
      <c r="D694" s="666"/>
      <c r="E694" s="667"/>
      <c r="F694" s="667"/>
      <c r="G694" s="668"/>
      <c r="H694" s="1408"/>
      <c r="I694" s="65"/>
      <c r="J694" s="66"/>
      <c r="K694" s="1407"/>
      <c r="L694" s="1409"/>
      <c r="M694" s="668"/>
    </row>
    <row r="695" spans="1:13" s="67" customFormat="1">
      <c r="A695" s="1406"/>
      <c r="B695" s="1407"/>
      <c r="C695" s="668"/>
      <c r="D695" s="666"/>
      <c r="E695" s="667"/>
      <c r="F695" s="667"/>
      <c r="G695" s="668"/>
      <c r="H695" s="1408"/>
      <c r="I695" s="65"/>
      <c r="J695" s="66"/>
      <c r="K695" s="1407"/>
      <c r="L695" s="1409"/>
      <c r="M695" s="668"/>
    </row>
    <row r="696" spans="1:13" s="67" customFormat="1">
      <c r="A696" s="1406"/>
      <c r="B696" s="1407"/>
      <c r="C696" s="668"/>
      <c r="D696" s="666"/>
      <c r="E696" s="667"/>
      <c r="F696" s="667"/>
      <c r="G696" s="668"/>
      <c r="H696" s="1408"/>
      <c r="I696" s="65"/>
      <c r="J696" s="66"/>
      <c r="K696" s="1407"/>
      <c r="L696" s="1409"/>
      <c r="M696" s="668"/>
    </row>
    <row r="697" spans="1:13" s="67" customFormat="1">
      <c r="A697" s="1406"/>
      <c r="B697" s="1407"/>
      <c r="C697" s="668"/>
      <c r="D697" s="666"/>
      <c r="E697" s="667"/>
      <c r="F697" s="667"/>
      <c r="G697" s="668"/>
      <c r="H697" s="1408"/>
      <c r="I697" s="65"/>
      <c r="J697" s="66"/>
      <c r="K697" s="1407"/>
      <c r="L697" s="1409"/>
      <c r="M697" s="668"/>
    </row>
    <row r="698" spans="1:13" s="67" customFormat="1">
      <c r="A698" s="1406"/>
      <c r="B698" s="1407"/>
      <c r="C698" s="668"/>
      <c r="D698" s="666"/>
      <c r="E698" s="667"/>
      <c r="F698" s="667"/>
      <c r="G698" s="668"/>
      <c r="H698" s="1408"/>
      <c r="I698" s="65"/>
      <c r="J698" s="66"/>
      <c r="K698" s="1407"/>
      <c r="L698" s="1409"/>
      <c r="M698" s="668"/>
    </row>
    <row r="699" spans="1:13" s="67" customFormat="1">
      <c r="A699" s="1406"/>
      <c r="B699" s="1407"/>
      <c r="C699" s="668"/>
      <c r="D699" s="666"/>
      <c r="E699" s="667"/>
      <c r="F699" s="667"/>
      <c r="G699" s="668"/>
      <c r="H699" s="1408"/>
      <c r="I699" s="65"/>
      <c r="J699" s="66"/>
      <c r="K699" s="1407"/>
      <c r="L699" s="1409"/>
      <c r="M699" s="668"/>
    </row>
    <row r="700" spans="1:13" s="67" customFormat="1">
      <c r="A700" s="1406"/>
      <c r="B700" s="1407"/>
      <c r="C700" s="668"/>
      <c r="D700" s="666"/>
      <c r="E700" s="667"/>
      <c r="F700" s="667"/>
      <c r="G700" s="668"/>
      <c r="H700" s="1408"/>
      <c r="I700" s="65"/>
      <c r="J700" s="66"/>
      <c r="K700" s="1407"/>
      <c r="L700" s="1409"/>
      <c r="M700" s="668"/>
    </row>
    <row r="701" spans="1:13" s="67" customFormat="1">
      <c r="A701" s="1406"/>
      <c r="B701" s="1407"/>
      <c r="C701" s="668"/>
      <c r="D701" s="666"/>
      <c r="E701" s="667"/>
      <c r="F701" s="667"/>
      <c r="G701" s="668"/>
      <c r="H701" s="1408"/>
      <c r="I701" s="65"/>
      <c r="J701" s="66"/>
      <c r="K701" s="1407"/>
      <c r="L701" s="1409"/>
      <c r="M701" s="668"/>
    </row>
    <row r="702" spans="1:13" s="67" customFormat="1">
      <c r="A702" s="1406"/>
      <c r="B702" s="1407"/>
      <c r="C702" s="668"/>
      <c r="D702" s="666"/>
      <c r="E702" s="667"/>
      <c r="F702" s="667"/>
      <c r="G702" s="668"/>
      <c r="H702" s="1408"/>
      <c r="I702" s="65"/>
      <c r="J702" s="66"/>
      <c r="K702" s="1407"/>
      <c r="L702" s="1409"/>
      <c r="M702" s="668"/>
    </row>
    <row r="703" spans="1:13" s="67" customFormat="1">
      <c r="A703" s="1406"/>
      <c r="B703" s="1407"/>
      <c r="C703" s="668"/>
      <c r="D703" s="666"/>
      <c r="E703" s="667"/>
      <c r="F703" s="667"/>
      <c r="G703" s="668"/>
      <c r="H703" s="1408"/>
      <c r="I703" s="65"/>
      <c r="J703" s="66"/>
      <c r="K703" s="1407"/>
      <c r="L703" s="1409"/>
      <c r="M703" s="668"/>
    </row>
    <row r="704" spans="1:13" s="67" customFormat="1">
      <c r="A704" s="1406"/>
      <c r="B704" s="1407"/>
      <c r="C704" s="668"/>
      <c r="D704" s="666"/>
      <c r="E704" s="667"/>
      <c r="F704" s="667"/>
      <c r="G704" s="668"/>
      <c r="H704" s="1408"/>
      <c r="I704" s="65"/>
      <c r="J704" s="66"/>
      <c r="K704" s="1407"/>
      <c r="L704" s="1409"/>
      <c r="M704" s="668"/>
    </row>
    <row r="705" spans="1:13" s="67" customFormat="1">
      <c r="A705" s="1406"/>
      <c r="B705" s="1407"/>
      <c r="C705" s="668"/>
      <c r="D705" s="666"/>
      <c r="E705" s="667"/>
      <c r="F705" s="667"/>
      <c r="G705" s="668"/>
      <c r="H705" s="1408"/>
      <c r="I705" s="65"/>
      <c r="J705" s="66"/>
      <c r="K705" s="1407"/>
      <c r="L705" s="1409"/>
      <c r="M705" s="668"/>
    </row>
    <row r="706" spans="1:13" s="67" customFormat="1">
      <c r="A706" s="1406"/>
      <c r="B706" s="1407"/>
      <c r="C706" s="668"/>
      <c r="D706" s="666"/>
      <c r="E706" s="667"/>
      <c r="F706" s="667"/>
      <c r="G706" s="668"/>
      <c r="H706" s="1408"/>
      <c r="I706" s="65"/>
      <c r="J706" s="66"/>
      <c r="K706" s="1407"/>
      <c r="L706" s="1409"/>
      <c r="M706" s="668"/>
    </row>
    <row r="707" spans="1:13" s="67" customFormat="1">
      <c r="A707" s="1406"/>
      <c r="B707" s="1407"/>
      <c r="C707" s="668"/>
      <c r="D707" s="666"/>
      <c r="E707" s="667"/>
      <c r="F707" s="667"/>
      <c r="G707" s="668"/>
      <c r="H707" s="1408"/>
      <c r="I707" s="65"/>
      <c r="J707" s="66"/>
      <c r="K707" s="1407"/>
      <c r="L707" s="1409"/>
      <c r="M707" s="668"/>
    </row>
    <row r="708" spans="1:13" s="67" customFormat="1">
      <c r="A708" s="1406"/>
      <c r="B708" s="1407"/>
      <c r="C708" s="668"/>
      <c r="D708" s="666"/>
      <c r="E708" s="667"/>
      <c r="F708" s="667"/>
      <c r="G708" s="668"/>
      <c r="H708" s="1408"/>
      <c r="I708" s="65"/>
      <c r="J708" s="66"/>
      <c r="K708" s="1407"/>
      <c r="L708" s="1409"/>
      <c r="M708" s="668"/>
    </row>
    <row r="709" spans="1:13" s="67" customFormat="1">
      <c r="A709" s="1406"/>
      <c r="B709" s="1407"/>
      <c r="C709" s="668"/>
      <c r="D709" s="666"/>
      <c r="E709" s="667"/>
      <c r="F709" s="667"/>
      <c r="G709" s="668"/>
      <c r="H709" s="1408"/>
      <c r="I709" s="65"/>
      <c r="J709" s="66"/>
      <c r="K709" s="1407"/>
      <c r="L709" s="1409"/>
      <c r="M709" s="668"/>
    </row>
    <row r="710" spans="1:13" s="67" customFormat="1">
      <c r="A710" s="1406"/>
      <c r="B710" s="1407"/>
      <c r="C710" s="668"/>
      <c r="D710" s="666"/>
      <c r="E710" s="667"/>
      <c r="F710" s="667"/>
      <c r="G710" s="668"/>
      <c r="H710" s="1408"/>
      <c r="I710" s="65"/>
      <c r="J710" s="66"/>
      <c r="K710" s="1407"/>
      <c r="L710" s="1409"/>
      <c r="M710" s="668"/>
    </row>
    <row r="711" spans="1:13" s="67" customFormat="1">
      <c r="A711" s="1406"/>
      <c r="B711" s="1407"/>
      <c r="C711" s="668"/>
      <c r="D711" s="666"/>
      <c r="E711" s="667"/>
      <c r="F711" s="667"/>
      <c r="G711" s="668"/>
      <c r="H711" s="1408"/>
      <c r="I711" s="65"/>
      <c r="J711" s="66"/>
      <c r="K711" s="1407"/>
      <c r="L711" s="1409"/>
      <c r="M711" s="668"/>
    </row>
    <row r="712" spans="1:13" s="67" customFormat="1">
      <c r="A712" s="1406"/>
      <c r="B712" s="1407"/>
      <c r="C712" s="668"/>
      <c r="D712" s="666"/>
      <c r="E712" s="667"/>
      <c r="F712" s="667"/>
      <c r="G712" s="668"/>
      <c r="H712" s="1408"/>
      <c r="I712" s="65"/>
      <c r="J712" s="66"/>
      <c r="K712" s="1407"/>
      <c r="L712" s="1409"/>
      <c r="M712" s="668"/>
    </row>
    <row r="713" spans="1:13" s="67" customFormat="1">
      <c r="A713" s="1406"/>
      <c r="B713" s="1407"/>
      <c r="C713" s="668"/>
      <c r="D713" s="666"/>
      <c r="E713" s="667"/>
      <c r="F713" s="667"/>
      <c r="G713" s="668"/>
      <c r="H713" s="1408"/>
      <c r="I713" s="65"/>
      <c r="J713" s="66"/>
      <c r="K713" s="1407"/>
      <c r="L713" s="1409"/>
      <c r="M713" s="668"/>
    </row>
    <row r="714" spans="1:13" s="67" customFormat="1">
      <c r="A714" s="1406"/>
      <c r="B714" s="1407"/>
      <c r="C714" s="668"/>
      <c r="D714" s="666"/>
      <c r="E714" s="667"/>
      <c r="F714" s="667"/>
      <c r="G714" s="668"/>
      <c r="H714" s="1408"/>
      <c r="I714" s="65"/>
      <c r="J714" s="66"/>
      <c r="K714" s="1407"/>
      <c r="L714" s="1409"/>
      <c r="M714" s="668"/>
    </row>
    <row r="715" spans="1:13" s="67" customFormat="1">
      <c r="A715" s="1406"/>
      <c r="B715" s="1407"/>
      <c r="C715" s="668"/>
      <c r="D715" s="666"/>
      <c r="E715" s="667"/>
      <c r="F715" s="667"/>
      <c r="G715" s="668"/>
      <c r="H715" s="1408"/>
      <c r="I715" s="65"/>
      <c r="J715" s="66"/>
      <c r="K715" s="1407"/>
      <c r="L715" s="1409"/>
      <c r="M715" s="668"/>
    </row>
    <row r="716" spans="1:13" s="67" customFormat="1">
      <c r="A716" s="1406"/>
      <c r="B716" s="1407"/>
      <c r="C716" s="668"/>
      <c r="D716" s="666"/>
      <c r="E716" s="667"/>
      <c r="F716" s="667"/>
      <c r="G716" s="668"/>
      <c r="H716" s="1408"/>
      <c r="I716" s="65"/>
      <c r="J716" s="66"/>
      <c r="K716" s="1407"/>
      <c r="L716" s="1409"/>
      <c r="M716" s="668"/>
    </row>
    <row r="717" spans="1:13" s="67" customFormat="1">
      <c r="A717" s="1406"/>
      <c r="B717" s="1407"/>
      <c r="C717" s="668"/>
      <c r="D717" s="666"/>
      <c r="E717" s="667"/>
      <c r="F717" s="667"/>
      <c r="G717" s="668"/>
      <c r="H717" s="1408"/>
      <c r="I717" s="65"/>
      <c r="J717" s="66"/>
      <c r="K717" s="1407"/>
      <c r="L717" s="1409"/>
      <c r="M717" s="668"/>
    </row>
    <row r="718" spans="1:13" s="67" customFormat="1">
      <c r="A718" s="1406"/>
      <c r="B718" s="1407"/>
      <c r="C718" s="668"/>
      <c r="D718" s="666"/>
      <c r="E718" s="667"/>
      <c r="F718" s="667"/>
      <c r="G718" s="668"/>
      <c r="H718" s="1408"/>
      <c r="I718" s="65"/>
      <c r="J718" s="66"/>
      <c r="K718" s="1407"/>
      <c r="L718" s="1409"/>
      <c r="M718" s="668"/>
    </row>
    <row r="719" spans="1:13" s="67" customFormat="1">
      <c r="A719" s="1406"/>
      <c r="B719" s="1407"/>
      <c r="C719" s="668"/>
      <c r="D719" s="666"/>
      <c r="E719" s="667"/>
      <c r="F719" s="667"/>
      <c r="G719" s="668"/>
      <c r="H719" s="1408"/>
      <c r="I719" s="65"/>
      <c r="J719" s="66"/>
      <c r="K719" s="1407"/>
      <c r="L719" s="1409"/>
      <c r="M719" s="668"/>
    </row>
    <row r="720" spans="1:13" s="67" customFormat="1">
      <c r="A720" s="1406"/>
      <c r="B720" s="1407"/>
      <c r="C720" s="668"/>
      <c r="D720" s="666"/>
      <c r="E720" s="667"/>
      <c r="F720" s="667"/>
      <c r="G720" s="668"/>
      <c r="H720" s="1408"/>
      <c r="I720" s="65"/>
      <c r="J720" s="66"/>
      <c r="K720" s="1407"/>
      <c r="L720" s="1409"/>
      <c r="M720" s="668"/>
    </row>
    <row r="721" spans="1:13" s="67" customFormat="1">
      <c r="A721" s="1406"/>
      <c r="B721" s="1407"/>
      <c r="C721" s="668"/>
      <c r="D721" s="666"/>
      <c r="E721" s="667"/>
      <c r="F721" s="667"/>
      <c r="G721" s="668"/>
      <c r="H721" s="1408"/>
      <c r="I721" s="65"/>
      <c r="J721" s="66"/>
      <c r="K721" s="1407"/>
      <c r="L721" s="1409"/>
      <c r="M721" s="668"/>
    </row>
    <row r="722" spans="1:13" s="67" customFormat="1">
      <c r="A722" s="1406"/>
      <c r="B722" s="1407"/>
      <c r="C722" s="668"/>
      <c r="D722" s="666"/>
      <c r="E722" s="667"/>
      <c r="F722" s="667"/>
      <c r="G722" s="668"/>
      <c r="H722" s="1408"/>
      <c r="I722" s="65"/>
      <c r="J722" s="66"/>
      <c r="K722" s="1407"/>
      <c r="L722" s="1409"/>
      <c r="M722" s="668"/>
    </row>
    <row r="723" spans="1:13" s="67" customFormat="1">
      <c r="A723" s="1406"/>
      <c r="B723" s="1407"/>
      <c r="C723" s="668"/>
      <c r="D723" s="666"/>
      <c r="E723" s="667"/>
      <c r="F723" s="667"/>
      <c r="G723" s="668"/>
      <c r="H723" s="1408"/>
      <c r="I723" s="65"/>
      <c r="J723" s="66"/>
      <c r="K723" s="1407"/>
      <c r="L723" s="1409"/>
      <c r="M723" s="668"/>
    </row>
    <row r="724" spans="1:13" s="67" customFormat="1">
      <c r="A724" s="1406"/>
      <c r="B724" s="1407"/>
      <c r="C724" s="668"/>
      <c r="D724" s="666"/>
      <c r="E724" s="667"/>
      <c r="F724" s="667"/>
      <c r="G724" s="668"/>
      <c r="H724" s="1408"/>
      <c r="I724" s="65"/>
      <c r="J724" s="66"/>
      <c r="K724" s="1407"/>
      <c r="L724" s="1409"/>
      <c r="M724" s="668"/>
    </row>
    <row r="725" spans="1:13" s="67" customFormat="1">
      <c r="A725" s="1406"/>
      <c r="B725" s="1407"/>
      <c r="C725" s="668"/>
      <c r="D725" s="666"/>
      <c r="E725" s="667"/>
      <c r="F725" s="667"/>
      <c r="G725" s="668"/>
      <c r="H725" s="1408"/>
      <c r="I725" s="65"/>
      <c r="J725" s="66"/>
      <c r="K725" s="1407"/>
      <c r="L725" s="1409"/>
      <c r="M725" s="668"/>
    </row>
    <row r="726" spans="1:13" s="67" customFormat="1">
      <c r="A726" s="1406"/>
      <c r="B726" s="1407"/>
      <c r="C726" s="668"/>
      <c r="D726" s="666"/>
      <c r="E726" s="667"/>
      <c r="F726" s="667"/>
      <c r="G726" s="668"/>
      <c r="H726" s="1408"/>
      <c r="I726" s="65"/>
      <c r="J726" s="66"/>
      <c r="K726" s="1407"/>
      <c r="L726" s="1409"/>
      <c r="M726" s="668"/>
    </row>
    <row r="727" spans="1:13" s="67" customFormat="1">
      <c r="A727" s="1406"/>
      <c r="B727" s="1407"/>
      <c r="C727" s="668"/>
      <c r="D727" s="666"/>
      <c r="E727" s="667"/>
      <c r="F727" s="667"/>
      <c r="G727" s="668"/>
      <c r="H727" s="1408"/>
      <c r="I727" s="65"/>
      <c r="J727" s="66"/>
      <c r="K727" s="1407"/>
      <c r="L727" s="1409"/>
      <c r="M727" s="668"/>
    </row>
    <row r="728" spans="1:13" s="67" customFormat="1">
      <c r="A728" s="1406"/>
      <c r="B728" s="1407"/>
      <c r="C728" s="668"/>
      <c r="D728" s="666"/>
      <c r="E728" s="667"/>
      <c r="F728" s="667"/>
      <c r="G728" s="668"/>
      <c r="H728" s="1408"/>
      <c r="I728" s="65"/>
      <c r="J728" s="66"/>
      <c r="K728" s="1407"/>
      <c r="L728" s="1409"/>
      <c r="M728" s="668"/>
    </row>
    <row r="729" spans="1:13" s="67" customFormat="1">
      <c r="A729" s="1406"/>
      <c r="B729" s="1407"/>
      <c r="C729" s="668"/>
      <c r="D729" s="666"/>
      <c r="E729" s="667"/>
      <c r="F729" s="667"/>
      <c r="G729" s="668"/>
      <c r="H729" s="1408"/>
      <c r="I729" s="65"/>
      <c r="J729" s="66"/>
      <c r="K729" s="1407"/>
      <c r="L729" s="1409"/>
      <c r="M729" s="668"/>
    </row>
    <row r="730" spans="1:13" s="67" customFormat="1">
      <c r="A730" s="1406"/>
      <c r="B730" s="1407"/>
      <c r="C730" s="668"/>
      <c r="D730" s="666"/>
      <c r="E730" s="667"/>
      <c r="F730" s="667"/>
      <c r="G730" s="668"/>
      <c r="H730" s="1408"/>
      <c r="I730" s="65"/>
      <c r="J730" s="66"/>
      <c r="K730" s="1407"/>
      <c r="L730" s="1409"/>
      <c r="M730" s="668"/>
    </row>
    <row r="731" spans="1:13" s="67" customFormat="1">
      <c r="A731" s="1406"/>
      <c r="B731" s="1407"/>
      <c r="C731" s="668"/>
      <c r="D731" s="666"/>
      <c r="E731" s="667"/>
      <c r="F731" s="667"/>
      <c r="G731" s="668"/>
      <c r="H731" s="1408"/>
      <c r="I731" s="65"/>
      <c r="J731" s="66"/>
      <c r="K731" s="1407"/>
      <c r="L731" s="1409"/>
      <c r="M731" s="668"/>
    </row>
    <row r="732" spans="1:13" s="67" customFormat="1">
      <c r="A732" s="1406"/>
      <c r="B732" s="1407"/>
      <c r="C732" s="668"/>
      <c r="D732" s="666"/>
      <c r="E732" s="667"/>
      <c r="F732" s="667"/>
      <c r="G732" s="668"/>
      <c r="H732" s="1408"/>
      <c r="I732" s="65"/>
      <c r="J732" s="66"/>
      <c r="K732" s="1407"/>
      <c r="L732" s="1409"/>
      <c r="M732" s="668"/>
    </row>
    <row r="733" spans="1:13" s="67" customFormat="1">
      <c r="A733" s="1406"/>
      <c r="B733" s="1407"/>
      <c r="C733" s="668"/>
      <c r="D733" s="666"/>
      <c r="E733" s="667"/>
      <c r="F733" s="667"/>
      <c r="G733" s="668"/>
      <c r="H733" s="1408"/>
      <c r="I733" s="65"/>
      <c r="J733" s="66"/>
      <c r="K733" s="1407"/>
      <c r="L733" s="1409"/>
      <c r="M733" s="668"/>
    </row>
    <row r="734" spans="1:13" s="67" customFormat="1">
      <c r="A734" s="1406"/>
      <c r="B734" s="1407"/>
      <c r="C734" s="668"/>
      <c r="D734" s="666"/>
      <c r="E734" s="667"/>
      <c r="F734" s="667"/>
      <c r="G734" s="668"/>
      <c r="H734" s="1408"/>
      <c r="I734" s="65"/>
      <c r="J734" s="66"/>
      <c r="K734" s="1407"/>
      <c r="L734" s="1409"/>
      <c r="M734" s="668"/>
    </row>
    <row r="735" spans="1:13" s="67" customFormat="1">
      <c r="A735" s="1406"/>
      <c r="B735" s="1407"/>
      <c r="C735" s="668"/>
      <c r="D735" s="666"/>
      <c r="E735" s="667"/>
      <c r="F735" s="667"/>
      <c r="G735" s="668"/>
      <c r="H735" s="1408"/>
      <c r="I735" s="65"/>
      <c r="J735" s="66"/>
      <c r="K735" s="1407"/>
      <c r="L735" s="1409"/>
      <c r="M735" s="668"/>
    </row>
    <row r="736" spans="1:13" s="67" customFormat="1">
      <c r="A736" s="1406"/>
      <c r="B736" s="1407"/>
      <c r="C736" s="668"/>
      <c r="D736" s="666"/>
      <c r="E736" s="667"/>
      <c r="F736" s="667"/>
      <c r="G736" s="668"/>
      <c r="H736" s="1408"/>
      <c r="I736" s="65"/>
      <c r="J736" s="66"/>
      <c r="K736" s="1407"/>
      <c r="L736" s="1409"/>
      <c r="M736" s="668"/>
    </row>
    <row r="737" spans="1:13" s="67" customFormat="1">
      <c r="A737" s="1406"/>
      <c r="B737" s="1407"/>
      <c r="C737" s="668"/>
      <c r="D737" s="666"/>
      <c r="E737" s="667"/>
      <c r="F737" s="667"/>
      <c r="G737" s="668"/>
      <c r="H737" s="1408"/>
      <c r="I737" s="65"/>
      <c r="J737" s="66"/>
      <c r="K737" s="1407"/>
      <c r="L737" s="1409"/>
      <c r="M737" s="668"/>
    </row>
    <row r="738" spans="1:13" s="67" customFormat="1">
      <c r="A738" s="1406"/>
      <c r="B738" s="1407"/>
      <c r="C738" s="668"/>
      <c r="D738" s="666"/>
      <c r="E738" s="667"/>
      <c r="F738" s="667"/>
      <c r="G738" s="668"/>
      <c r="H738" s="1408"/>
      <c r="I738" s="65"/>
      <c r="J738" s="66"/>
      <c r="K738" s="1407"/>
      <c r="L738" s="1409"/>
      <c r="M738" s="668"/>
    </row>
    <row r="739" spans="1:13" s="67" customFormat="1">
      <c r="A739" s="1406"/>
      <c r="B739" s="1407"/>
      <c r="C739" s="668"/>
      <c r="D739" s="666"/>
      <c r="E739" s="667"/>
      <c r="F739" s="667"/>
      <c r="G739" s="668"/>
      <c r="H739" s="1408"/>
      <c r="I739" s="65"/>
      <c r="J739" s="66"/>
      <c r="K739" s="1407"/>
      <c r="L739" s="1409"/>
      <c r="M739" s="668"/>
    </row>
    <row r="740" spans="1:13" s="67" customFormat="1">
      <c r="A740" s="1406"/>
      <c r="B740" s="1407"/>
      <c r="C740" s="668"/>
      <c r="D740" s="666"/>
      <c r="E740" s="667"/>
      <c r="F740" s="667"/>
      <c r="G740" s="668"/>
      <c r="H740" s="1408"/>
      <c r="I740" s="65"/>
      <c r="J740" s="66"/>
      <c r="K740" s="1407"/>
      <c r="L740" s="1409"/>
      <c r="M740" s="668"/>
    </row>
    <row r="741" spans="1:13" s="67" customFormat="1">
      <c r="A741" s="1406"/>
      <c r="B741" s="1407"/>
      <c r="C741" s="668"/>
      <c r="D741" s="666"/>
      <c r="E741" s="667"/>
      <c r="F741" s="667"/>
      <c r="G741" s="668"/>
      <c r="H741" s="1408"/>
      <c r="I741" s="65"/>
      <c r="J741" s="66"/>
      <c r="K741" s="1407"/>
      <c r="L741" s="1409"/>
      <c r="M741" s="668"/>
    </row>
    <row r="742" spans="1:13" s="67" customFormat="1">
      <c r="A742" s="1406"/>
      <c r="B742" s="1407"/>
      <c r="C742" s="668"/>
      <c r="D742" s="666"/>
      <c r="E742" s="667"/>
      <c r="F742" s="667"/>
      <c r="G742" s="668"/>
      <c r="H742" s="1408"/>
      <c r="I742" s="65"/>
      <c r="J742" s="66"/>
      <c r="K742" s="1407"/>
      <c r="L742" s="1409"/>
      <c r="M742" s="668"/>
    </row>
    <row r="743" spans="1:13" s="67" customFormat="1">
      <c r="A743" s="1406"/>
      <c r="B743" s="1407"/>
      <c r="C743" s="668"/>
      <c r="D743" s="666"/>
      <c r="E743" s="667"/>
      <c r="F743" s="667"/>
      <c r="G743" s="668"/>
      <c r="H743" s="1408"/>
      <c r="I743" s="65"/>
      <c r="J743" s="66"/>
      <c r="K743" s="1407"/>
      <c r="L743" s="1409"/>
      <c r="M743" s="668"/>
    </row>
    <row r="744" spans="1:13" s="67" customFormat="1">
      <c r="A744" s="1406"/>
      <c r="B744" s="1407"/>
      <c r="C744" s="668"/>
      <c r="D744" s="666"/>
      <c r="E744" s="667"/>
      <c r="F744" s="667"/>
      <c r="G744" s="668"/>
      <c r="H744" s="1408"/>
      <c r="I744" s="65"/>
      <c r="J744" s="66"/>
      <c r="K744" s="1407"/>
      <c r="L744" s="1409"/>
      <c r="M744" s="668"/>
    </row>
    <row r="745" spans="1:13" s="67" customFormat="1">
      <c r="A745" s="1406"/>
      <c r="B745" s="1407"/>
      <c r="C745" s="668"/>
      <c r="D745" s="666"/>
      <c r="E745" s="667"/>
      <c r="F745" s="667"/>
      <c r="G745" s="668"/>
      <c r="H745" s="1408"/>
      <c r="I745" s="65"/>
      <c r="J745" s="66"/>
      <c r="K745" s="1407"/>
      <c r="L745" s="1409"/>
      <c r="M745" s="668"/>
    </row>
    <row r="746" spans="1:13" s="67" customFormat="1">
      <c r="A746" s="1406"/>
      <c r="B746" s="1407"/>
      <c r="C746" s="668"/>
      <c r="D746" s="666"/>
      <c r="E746" s="667"/>
      <c r="F746" s="667"/>
      <c r="G746" s="668"/>
      <c r="H746" s="1408"/>
      <c r="I746" s="65"/>
      <c r="J746" s="66"/>
      <c r="K746" s="1407"/>
      <c r="L746" s="1409"/>
      <c r="M746" s="668"/>
    </row>
    <row r="747" spans="1:13" s="67" customFormat="1">
      <c r="A747" s="1406"/>
      <c r="B747" s="1407"/>
      <c r="C747" s="668"/>
      <c r="D747" s="666"/>
      <c r="E747" s="667"/>
      <c r="F747" s="667"/>
      <c r="G747" s="668"/>
      <c r="H747" s="1408"/>
      <c r="I747" s="65"/>
      <c r="J747" s="66"/>
      <c r="K747" s="1407"/>
      <c r="L747" s="1409"/>
      <c r="M747" s="668"/>
    </row>
    <row r="748" spans="1:13" s="67" customFormat="1">
      <c r="A748" s="1406"/>
      <c r="B748" s="1407"/>
      <c r="C748" s="668"/>
      <c r="D748" s="666"/>
      <c r="E748" s="667"/>
      <c r="F748" s="667"/>
      <c r="G748" s="668"/>
      <c r="H748" s="1408"/>
      <c r="I748" s="65"/>
      <c r="J748" s="66"/>
      <c r="K748" s="1407"/>
      <c r="L748" s="1409"/>
      <c r="M748" s="668"/>
    </row>
    <row r="749" spans="1:13" s="67" customFormat="1">
      <c r="A749" s="1406"/>
      <c r="B749" s="1407"/>
      <c r="C749" s="668"/>
      <c r="D749" s="666"/>
      <c r="E749" s="667"/>
      <c r="F749" s="667"/>
      <c r="G749" s="668"/>
      <c r="H749" s="1408"/>
      <c r="I749" s="65"/>
      <c r="J749" s="66"/>
      <c r="K749" s="1407"/>
      <c r="L749" s="1409"/>
      <c r="M749" s="668"/>
    </row>
    <row r="750" spans="1:13" s="67" customFormat="1">
      <c r="A750" s="1406"/>
      <c r="B750" s="1407"/>
      <c r="C750" s="668"/>
      <c r="D750" s="666"/>
      <c r="E750" s="667"/>
      <c r="F750" s="667"/>
      <c r="G750" s="668"/>
      <c r="H750" s="1408"/>
      <c r="I750" s="65"/>
      <c r="J750" s="66"/>
      <c r="K750" s="1407"/>
      <c r="L750" s="1409"/>
      <c r="M750" s="668"/>
    </row>
    <row r="751" spans="1:13" s="67" customFormat="1">
      <c r="A751" s="1406"/>
      <c r="B751" s="1407"/>
      <c r="C751" s="668"/>
      <c r="D751" s="666"/>
      <c r="E751" s="667"/>
      <c r="F751" s="667"/>
      <c r="G751" s="668"/>
      <c r="H751" s="1408"/>
      <c r="I751" s="65"/>
      <c r="J751" s="66"/>
      <c r="K751" s="1407"/>
      <c r="L751" s="1409"/>
      <c r="M751" s="668"/>
    </row>
    <row r="752" spans="1:13" s="67" customFormat="1">
      <c r="A752" s="1406"/>
      <c r="B752" s="1407"/>
      <c r="C752" s="668"/>
      <c r="D752" s="666"/>
      <c r="E752" s="667"/>
      <c r="F752" s="667"/>
      <c r="G752" s="668"/>
      <c r="H752" s="1408"/>
      <c r="I752" s="65"/>
      <c r="J752" s="66"/>
      <c r="K752" s="1407"/>
      <c r="L752" s="1409"/>
      <c r="M752" s="668"/>
    </row>
    <row r="753" spans="1:13" s="67" customFormat="1">
      <c r="A753" s="1406"/>
      <c r="B753" s="1407"/>
      <c r="C753" s="668"/>
      <c r="D753" s="666"/>
      <c r="E753" s="667"/>
      <c r="F753" s="667"/>
      <c r="G753" s="668"/>
      <c r="H753" s="1408"/>
      <c r="I753" s="65"/>
      <c r="J753" s="66"/>
      <c r="K753" s="1407"/>
      <c r="L753" s="1409"/>
      <c r="M753" s="668"/>
    </row>
    <row r="754" spans="1:13" s="67" customFormat="1">
      <c r="A754" s="1406"/>
      <c r="B754" s="1407"/>
      <c r="C754" s="668"/>
      <c r="D754" s="666"/>
      <c r="E754" s="667"/>
      <c r="F754" s="667"/>
      <c r="G754" s="668"/>
      <c r="H754" s="1408"/>
      <c r="I754" s="65"/>
      <c r="J754" s="66"/>
      <c r="K754" s="1407"/>
      <c r="L754" s="1409"/>
      <c r="M754" s="668"/>
    </row>
    <row r="755" spans="1:13" s="67" customFormat="1">
      <c r="A755" s="1406"/>
      <c r="B755" s="1407"/>
      <c r="C755" s="668"/>
      <c r="D755" s="666"/>
      <c r="E755" s="667"/>
      <c r="F755" s="667"/>
      <c r="G755" s="668"/>
      <c r="H755" s="1408"/>
      <c r="I755" s="65"/>
      <c r="J755" s="66"/>
      <c r="K755" s="1407"/>
      <c r="L755" s="1409"/>
      <c r="M755" s="668"/>
    </row>
    <row r="756" spans="1:13" s="67" customFormat="1">
      <c r="A756" s="1406"/>
      <c r="B756" s="1407"/>
      <c r="C756" s="668"/>
      <c r="D756" s="666"/>
      <c r="E756" s="667"/>
      <c r="F756" s="667"/>
      <c r="G756" s="668"/>
      <c r="H756" s="1408"/>
      <c r="I756" s="65"/>
      <c r="J756" s="66"/>
      <c r="K756" s="1407"/>
      <c r="L756" s="1409"/>
      <c r="M756" s="668"/>
    </row>
    <row r="757" spans="1:13" s="67" customFormat="1">
      <c r="A757" s="1406"/>
      <c r="B757" s="1407"/>
      <c r="C757" s="668"/>
      <c r="D757" s="666"/>
      <c r="E757" s="667"/>
      <c r="F757" s="667"/>
      <c r="G757" s="668"/>
      <c r="H757" s="1408"/>
      <c r="I757" s="65"/>
      <c r="J757" s="66"/>
      <c r="K757" s="1407"/>
      <c r="L757" s="1409"/>
      <c r="M757" s="668"/>
    </row>
    <row r="758" spans="1:13" s="67" customFormat="1">
      <c r="A758" s="1406"/>
      <c r="B758" s="1407"/>
      <c r="C758" s="668"/>
      <c r="D758" s="666"/>
      <c r="E758" s="667"/>
      <c r="F758" s="667"/>
      <c r="G758" s="668"/>
      <c r="H758" s="1408"/>
      <c r="I758" s="65"/>
      <c r="J758" s="66"/>
      <c r="K758" s="1407"/>
      <c r="L758" s="1409"/>
      <c r="M758" s="668"/>
    </row>
    <row r="759" spans="1:13" s="67" customFormat="1">
      <c r="A759" s="1406"/>
      <c r="B759" s="1407"/>
      <c r="C759" s="668"/>
      <c r="D759" s="666"/>
      <c r="E759" s="667"/>
      <c r="F759" s="667"/>
      <c r="G759" s="668"/>
      <c r="H759" s="1408"/>
      <c r="I759" s="65"/>
      <c r="J759" s="66"/>
      <c r="K759" s="1407"/>
      <c r="L759" s="1409"/>
      <c r="M759" s="668"/>
    </row>
    <row r="760" spans="1:13" s="67" customFormat="1">
      <c r="A760" s="1406"/>
      <c r="B760" s="1407"/>
      <c r="C760" s="668"/>
      <c r="D760" s="666"/>
      <c r="E760" s="667"/>
      <c r="F760" s="667"/>
      <c r="G760" s="668"/>
      <c r="H760" s="1408"/>
      <c r="I760" s="65"/>
      <c r="J760" s="66"/>
      <c r="K760" s="1407"/>
      <c r="L760" s="1409"/>
      <c r="M760" s="668"/>
    </row>
    <row r="761" spans="1:13" s="67" customFormat="1">
      <c r="A761" s="1406"/>
      <c r="B761" s="1407"/>
      <c r="C761" s="668"/>
      <c r="D761" s="666"/>
      <c r="E761" s="667"/>
      <c r="F761" s="667"/>
      <c r="G761" s="668"/>
      <c r="H761" s="1408"/>
      <c r="I761" s="65"/>
      <c r="J761" s="66"/>
      <c r="K761" s="1407"/>
      <c r="L761" s="1409"/>
      <c r="M761" s="668"/>
    </row>
    <row r="762" spans="1:13" s="67" customFormat="1">
      <c r="A762" s="1406"/>
      <c r="B762" s="1407"/>
      <c r="C762" s="668"/>
      <c r="D762" s="666"/>
      <c r="E762" s="667"/>
      <c r="F762" s="667"/>
      <c r="G762" s="668"/>
      <c r="H762" s="1408"/>
      <c r="I762" s="65"/>
      <c r="J762" s="66"/>
      <c r="K762" s="1407"/>
      <c r="L762" s="1409"/>
      <c r="M762" s="668"/>
    </row>
    <row r="763" spans="1:13" s="67" customFormat="1">
      <c r="A763" s="1406"/>
      <c r="B763" s="1407"/>
      <c r="C763" s="668"/>
      <c r="D763" s="666"/>
      <c r="E763" s="667"/>
      <c r="F763" s="667"/>
      <c r="G763" s="668"/>
      <c r="H763" s="1408"/>
      <c r="I763" s="65"/>
      <c r="J763" s="66"/>
      <c r="K763" s="1407"/>
      <c r="L763" s="1409"/>
      <c r="M763" s="668"/>
    </row>
    <row r="764" spans="1:13" s="67" customFormat="1">
      <c r="A764" s="1406"/>
      <c r="B764" s="1407"/>
      <c r="C764" s="668"/>
      <c r="D764" s="666"/>
      <c r="E764" s="667"/>
      <c r="F764" s="667"/>
      <c r="G764" s="668"/>
      <c r="H764" s="1408"/>
      <c r="I764" s="65"/>
      <c r="J764" s="66"/>
      <c r="K764" s="1407"/>
      <c r="L764" s="1409"/>
      <c r="M764" s="668"/>
    </row>
    <row r="765" spans="1:13" s="67" customFormat="1">
      <c r="A765" s="1406"/>
      <c r="B765" s="1407"/>
      <c r="C765" s="668"/>
      <c r="D765" s="666"/>
      <c r="E765" s="667"/>
      <c r="F765" s="667"/>
      <c r="G765" s="668"/>
      <c r="H765" s="1408"/>
      <c r="I765" s="65"/>
      <c r="J765" s="66"/>
      <c r="K765" s="1407"/>
      <c r="L765" s="1409"/>
      <c r="M765" s="668"/>
    </row>
    <row r="766" spans="1:13" s="67" customFormat="1">
      <c r="A766" s="1406"/>
      <c r="B766" s="1407"/>
      <c r="C766" s="668"/>
      <c r="D766" s="666"/>
      <c r="E766" s="667"/>
      <c r="F766" s="667"/>
      <c r="G766" s="668"/>
      <c r="H766" s="1408"/>
      <c r="I766" s="65"/>
      <c r="J766" s="66"/>
      <c r="K766" s="1407"/>
      <c r="L766" s="1409"/>
      <c r="M766" s="668"/>
    </row>
    <row r="767" spans="1:13" s="67" customFormat="1">
      <c r="A767" s="1406"/>
      <c r="B767" s="1407"/>
      <c r="C767" s="668"/>
      <c r="D767" s="666"/>
      <c r="E767" s="667"/>
      <c r="F767" s="667"/>
      <c r="G767" s="668"/>
      <c r="H767" s="1408"/>
      <c r="I767" s="65"/>
      <c r="J767" s="66"/>
      <c r="K767" s="1407"/>
      <c r="L767" s="1409"/>
      <c r="M767" s="668"/>
    </row>
    <row r="768" spans="1:13" s="67" customFormat="1">
      <c r="A768" s="1406"/>
      <c r="B768" s="1407"/>
      <c r="C768" s="668"/>
      <c r="D768" s="666"/>
      <c r="E768" s="667"/>
      <c r="F768" s="667"/>
      <c r="G768" s="668"/>
      <c r="H768" s="1408"/>
      <c r="I768" s="65"/>
      <c r="J768" s="66"/>
      <c r="K768" s="1407"/>
      <c r="L768" s="1409"/>
      <c r="M768" s="668"/>
    </row>
    <row r="769" spans="1:13" s="67" customFormat="1">
      <c r="A769" s="1406"/>
      <c r="B769" s="1407"/>
      <c r="C769" s="668"/>
      <c r="D769" s="666"/>
      <c r="E769" s="667"/>
      <c r="F769" s="667"/>
      <c r="G769" s="668"/>
      <c r="H769" s="1408"/>
      <c r="I769" s="65"/>
      <c r="J769" s="66"/>
      <c r="K769" s="1407"/>
      <c r="L769" s="1409"/>
      <c r="M769" s="668"/>
    </row>
    <row r="770" spans="1:13" s="67" customFormat="1">
      <c r="A770" s="1406"/>
      <c r="B770" s="1407"/>
      <c r="C770" s="668"/>
      <c r="D770" s="666"/>
      <c r="E770" s="667"/>
      <c r="F770" s="667"/>
      <c r="G770" s="668"/>
      <c r="H770" s="1408"/>
      <c r="I770" s="65"/>
      <c r="J770" s="66"/>
      <c r="K770" s="1407"/>
      <c r="L770" s="1409"/>
      <c r="M770" s="668"/>
    </row>
    <row r="771" spans="1:13" s="67" customFormat="1">
      <c r="A771" s="1406"/>
      <c r="B771" s="1407"/>
      <c r="C771" s="668"/>
      <c r="D771" s="666"/>
      <c r="E771" s="667"/>
      <c r="F771" s="667"/>
      <c r="G771" s="668"/>
      <c r="H771" s="1408"/>
      <c r="I771" s="65"/>
      <c r="J771" s="66"/>
      <c r="K771" s="1407"/>
      <c r="L771" s="1409"/>
      <c r="M771" s="668"/>
    </row>
    <row r="772" spans="1:13" s="67" customFormat="1">
      <c r="A772" s="1406"/>
      <c r="B772" s="1407"/>
      <c r="C772" s="668"/>
      <c r="D772" s="666"/>
      <c r="E772" s="667"/>
      <c r="F772" s="667"/>
      <c r="G772" s="668"/>
      <c r="H772" s="1408"/>
      <c r="I772" s="65"/>
      <c r="J772" s="66"/>
      <c r="K772" s="1407"/>
      <c r="L772" s="1409"/>
      <c r="M772" s="668"/>
    </row>
    <row r="773" spans="1:13" s="67" customFormat="1">
      <c r="A773" s="1406"/>
      <c r="B773" s="1407"/>
      <c r="C773" s="668"/>
      <c r="D773" s="666"/>
      <c r="E773" s="667"/>
      <c r="F773" s="667"/>
      <c r="G773" s="668"/>
      <c r="H773" s="1408"/>
      <c r="I773" s="65"/>
      <c r="J773" s="66"/>
      <c r="K773" s="1407"/>
      <c r="L773" s="1409"/>
      <c r="M773" s="668"/>
    </row>
    <row r="774" spans="1:13" s="67" customFormat="1">
      <c r="A774" s="1406"/>
      <c r="B774" s="1407"/>
      <c r="C774" s="668"/>
      <c r="D774" s="666"/>
      <c r="E774" s="667"/>
      <c r="F774" s="667"/>
      <c r="G774" s="668"/>
      <c r="H774" s="1408"/>
      <c r="I774" s="65"/>
      <c r="J774" s="66"/>
      <c r="K774" s="1407"/>
      <c r="L774" s="1409"/>
      <c r="M774" s="668"/>
    </row>
    <row r="775" spans="1:13" s="67" customFormat="1">
      <c r="A775" s="1406"/>
      <c r="B775" s="1407"/>
      <c r="C775" s="668"/>
      <c r="D775" s="666"/>
      <c r="E775" s="667"/>
      <c r="F775" s="667"/>
      <c r="G775" s="668"/>
      <c r="H775" s="1408"/>
      <c r="I775" s="65"/>
      <c r="J775" s="66"/>
      <c r="K775" s="1407"/>
      <c r="L775" s="1409"/>
      <c r="M775" s="668"/>
    </row>
    <row r="776" spans="1:13" s="67" customFormat="1">
      <c r="A776" s="1406"/>
      <c r="B776" s="1407"/>
      <c r="C776" s="668"/>
      <c r="D776" s="666"/>
      <c r="E776" s="667"/>
      <c r="F776" s="667"/>
      <c r="G776" s="668"/>
      <c r="H776" s="1408"/>
      <c r="I776" s="65"/>
      <c r="J776" s="66"/>
      <c r="K776" s="1407"/>
      <c r="L776" s="1409"/>
      <c r="M776" s="668"/>
    </row>
    <row r="777" spans="1:13" s="67" customFormat="1">
      <c r="A777" s="1406"/>
      <c r="B777" s="1407"/>
      <c r="C777" s="668"/>
      <c r="D777" s="666"/>
      <c r="E777" s="667"/>
      <c r="F777" s="667"/>
      <c r="G777" s="668"/>
      <c r="H777" s="1408"/>
      <c r="I777" s="65"/>
      <c r="J777" s="66"/>
      <c r="K777" s="1407"/>
      <c r="L777" s="1409"/>
      <c r="M777" s="668"/>
    </row>
    <row r="778" spans="1:13" s="67" customFormat="1">
      <c r="A778" s="1406"/>
      <c r="B778" s="1407"/>
      <c r="C778" s="668"/>
      <c r="D778" s="666"/>
      <c r="E778" s="667"/>
      <c r="F778" s="667"/>
      <c r="G778" s="668"/>
      <c r="H778" s="1408"/>
      <c r="I778" s="65"/>
      <c r="J778" s="66"/>
      <c r="K778" s="1407"/>
      <c r="L778" s="1409"/>
      <c r="M778" s="668"/>
    </row>
    <row r="779" spans="1:13" s="67" customFormat="1">
      <c r="A779" s="1406"/>
      <c r="B779" s="1407"/>
      <c r="C779" s="668"/>
      <c r="D779" s="666"/>
      <c r="E779" s="667"/>
      <c r="F779" s="667"/>
      <c r="G779" s="668"/>
      <c r="H779" s="1408"/>
      <c r="I779" s="65"/>
      <c r="J779" s="66"/>
      <c r="K779" s="1407"/>
      <c r="L779" s="1409"/>
      <c r="M779" s="668"/>
    </row>
    <row r="780" spans="1:13" s="67" customFormat="1">
      <c r="A780" s="1406"/>
      <c r="B780" s="1407"/>
      <c r="C780" s="668"/>
      <c r="D780" s="666"/>
      <c r="E780" s="667"/>
      <c r="F780" s="667"/>
      <c r="G780" s="668"/>
      <c r="H780" s="1408"/>
      <c r="I780" s="65"/>
      <c r="J780" s="66"/>
      <c r="K780" s="1407"/>
      <c r="L780" s="1409"/>
      <c r="M780" s="668"/>
    </row>
    <row r="781" spans="1:13" s="67" customFormat="1">
      <c r="A781" s="1406"/>
      <c r="B781" s="1407"/>
      <c r="C781" s="668"/>
      <c r="D781" s="666"/>
      <c r="E781" s="667"/>
      <c r="F781" s="667"/>
      <c r="G781" s="668"/>
      <c r="H781" s="1408"/>
      <c r="I781" s="65"/>
      <c r="J781" s="66"/>
      <c r="K781" s="1407"/>
      <c r="L781" s="1409"/>
      <c r="M781" s="668"/>
    </row>
    <row r="782" spans="1:13" s="67" customFormat="1">
      <c r="A782" s="1406"/>
      <c r="B782" s="1407"/>
      <c r="C782" s="668"/>
      <c r="D782" s="666"/>
      <c r="E782" s="667"/>
      <c r="F782" s="667"/>
      <c r="G782" s="668"/>
      <c r="H782" s="1408"/>
      <c r="I782" s="65"/>
      <c r="J782" s="66"/>
      <c r="K782" s="1407"/>
      <c r="L782" s="1409"/>
      <c r="M782" s="668"/>
    </row>
    <row r="783" spans="1:13" s="67" customFormat="1">
      <c r="A783" s="1406"/>
      <c r="B783" s="1407"/>
      <c r="C783" s="668"/>
      <c r="D783" s="666"/>
      <c r="E783" s="667"/>
      <c r="F783" s="667"/>
      <c r="G783" s="668"/>
      <c r="H783" s="1408"/>
      <c r="I783" s="65"/>
      <c r="J783" s="66"/>
      <c r="K783" s="1407"/>
      <c r="L783" s="1409"/>
      <c r="M783" s="668"/>
    </row>
    <row r="784" spans="1:13" s="67" customFormat="1">
      <c r="A784" s="1406"/>
      <c r="B784" s="1407"/>
      <c r="C784" s="668"/>
      <c r="D784" s="666"/>
      <c r="E784" s="667"/>
      <c r="F784" s="667"/>
      <c r="G784" s="668"/>
      <c r="H784" s="1408"/>
      <c r="I784" s="65"/>
      <c r="J784" s="66"/>
      <c r="K784" s="1407"/>
      <c r="L784" s="1409"/>
      <c r="M784" s="668"/>
    </row>
    <row r="785" spans="1:13" s="67" customFormat="1">
      <c r="A785" s="1406"/>
      <c r="B785" s="1407"/>
      <c r="C785" s="668"/>
      <c r="D785" s="666"/>
      <c r="E785" s="667"/>
      <c r="F785" s="667"/>
      <c r="G785" s="668"/>
      <c r="H785" s="1408"/>
      <c r="I785" s="65"/>
      <c r="J785" s="66"/>
      <c r="K785" s="1407"/>
      <c r="L785" s="1409"/>
      <c r="M785" s="668"/>
    </row>
    <row r="786" spans="1:13" s="67" customFormat="1">
      <c r="A786" s="1406"/>
      <c r="B786" s="1407"/>
      <c r="C786" s="668"/>
      <c r="D786" s="666"/>
      <c r="E786" s="667"/>
      <c r="F786" s="667"/>
      <c r="G786" s="668"/>
      <c r="H786" s="1408"/>
      <c r="I786" s="65"/>
      <c r="J786" s="66"/>
      <c r="K786" s="1407"/>
      <c r="L786" s="1409"/>
      <c r="M786" s="668"/>
    </row>
    <row r="787" spans="1:13" s="67" customFormat="1">
      <c r="A787" s="1406"/>
      <c r="B787" s="1407"/>
      <c r="C787" s="668"/>
      <c r="D787" s="666"/>
      <c r="E787" s="667"/>
      <c r="F787" s="667"/>
      <c r="G787" s="668"/>
      <c r="H787" s="1408"/>
      <c r="I787" s="65"/>
      <c r="J787" s="66"/>
      <c r="K787" s="1407"/>
      <c r="L787" s="1409"/>
      <c r="M787" s="668"/>
    </row>
    <row r="788" spans="1:13" s="67" customFormat="1">
      <c r="A788" s="1406"/>
      <c r="B788" s="1407"/>
      <c r="C788" s="668"/>
      <c r="D788" s="666"/>
      <c r="E788" s="667"/>
      <c r="F788" s="667"/>
      <c r="G788" s="668"/>
      <c r="H788" s="1408"/>
      <c r="I788" s="65"/>
      <c r="J788" s="66"/>
      <c r="K788" s="1407"/>
      <c r="L788" s="1409"/>
      <c r="M788" s="668"/>
    </row>
    <row r="789" spans="1:13" s="67" customFormat="1">
      <c r="A789" s="1406"/>
      <c r="B789" s="1407"/>
      <c r="C789" s="668"/>
      <c r="D789" s="666"/>
      <c r="E789" s="667"/>
      <c r="F789" s="667"/>
      <c r="G789" s="668"/>
      <c r="H789" s="1408"/>
      <c r="I789" s="65"/>
      <c r="J789" s="66"/>
      <c r="K789" s="1407"/>
      <c r="L789" s="1409"/>
      <c r="M789" s="668"/>
    </row>
    <row r="790" spans="1:13" s="67" customFormat="1">
      <c r="A790" s="1406"/>
      <c r="B790" s="1407"/>
      <c r="C790" s="668"/>
      <c r="D790" s="666"/>
      <c r="E790" s="667"/>
      <c r="F790" s="667"/>
      <c r="G790" s="668"/>
      <c r="H790" s="1408"/>
      <c r="I790" s="65"/>
      <c r="J790" s="66"/>
      <c r="K790" s="1407"/>
      <c r="L790" s="1409"/>
      <c r="M790" s="668"/>
    </row>
    <row r="791" spans="1:13" s="67" customFormat="1">
      <c r="A791" s="1406"/>
      <c r="B791" s="1407"/>
      <c r="C791" s="668"/>
      <c r="D791" s="666"/>
      <c r="E791" s="667"/>
      <c r="F791" s="667"/>
      <c r="G791" s="668"/>
      <c r="H791" s="1408"/>
      <c r="I791" s="65"/>
      <c r="J791" s="66"/>
      <c r="K791" s="1407"/>
      <c r="L791" s="1409"/>
      <c r="M791" s="668"/>
    </row>
    <row r="792" spans="1:13" s="67" customFormat="1">
      <c r="A792" s="1406"/>
      <c r="B792" s="1407"/>
      <c r="C792" s="668"/>
      <c r="D792" s="666"/>
      <c r="E792" s="667"/>
      <c r="F792" s="667"/>
      <c r="G792" s="668"/>
      <c r="H792" s="1408"/>
      <c r="I792" s="65"/>
      <c r="J792" s="66"/>
      <c r="K792" s="1407"/>
      <c r="L792" s="1409"/>
      <c r="M792" s="668"/>
    </row>
    <row r="793" spans="1:13" s="67" customFormat="1">
      <c r="A793" s="1406"/>
      <c r="B793" s="1407"/>
      <c r="C793" s="668"/>
      <c r="D793" s="666"/>
      <c r="E793" s="667"/>
      <c r="F793" s="667"/>
      <c r="G793" s="668"/>
      <c r="H793" s="1408"/>
      <c r="I793" s="65"/>
      <c r="J793" s="66"/>
      <c r="K793" s="1407"/>
      <c r="L793" s="1409"/>
      <c r="M793" s="668"/>
    </row>
    <row r="794" spans="1:13" s="67" customFormat="1">
      <c r="A794" s="1406"/>
      <c r="B794" s="1407"/>
      <c r="C794" s="668"/>
      <c r="D794" s="666"/>
      <c r="E794" s="667"/>
      <c r="F794" s="667"/>
      <c r="G794" s="668"/>
      <c r="H794" s="1408"/>
      <c r="I794" s="65"/>
      <c r="J794" s="66"/>
      <c r="K794" s="1407"/>
      <c r="L794" s="1409"/>
      <c r="M794" s="668"/>
    </row>
    <row r="795" spans="1:13" s="67" customFormat="1">
      <c r="A795" s="1406"/>
      <c r="B795" s="1407"/>
      <c r="C795" s="668"/>
      <c r="D795" s="666"/>
      <c r="E795" s="667"/>
      <c r="F795" s="667"/>
      <c r="G795" s="668"/>
      <c r="H795" s="1408"/>
      <c r="I795" s="65"/>
      <c r="J795" s="66"/>
      <c r="K795" s="1407"/>
      <c r="L795" s="1409"/>
      <c r="M795" s="668"/>
    </row>
    <row r="796" spans="1:13" s="67" customFormat="1">
      <c r="A796" s="1406"/>
      <c r="B796" s="1407"/>
      <c r="C796" s="668"/>
      <c r="D796" s="666"/>
      <c r="E796" s="667"/>
      <c r="F796" s="667"/>
      <c r="G796" s="668"/>
      <c r="H796" s="1408"/>
      <c r="I796" s="65"/>
      <c r="J796" s="66"/>
      <c r="K796" s="1407"/>
      <c r="L796" s="1409"/>
      <c r="M796" s="668"/>
    </row>
    <row r="797" spans="1:13" s="67" customFormat="1">
      <c r="A797" s="1406"/>
      <c r="B797" s="1407"/>
      <c r="C797" s="668"/>
      <c r="D797" s="666"/>
      <c r="E797" s="667"/>
      <c r="F797" s="667"/>
      <c r="G797" s="668"/>
      <c r="H797" s="1408"/>
      <c r="I797" s="65"/>
      <c r="J797" s="66"/>
      <c r="K797" s="1407"/>
      <c r="L797" s="1409"/>
      <c r="M797" s="668"/>
    </row>
    <row r="798" spans="1:13" s="67" customFormat="1">
      <c r="A798" s="1406"/>
      <c r="B798" s="1407"/>
      <c r="C798" s="668"/>
      <c r="D798" s="666"/>
      <c r="E798" s="667"/>
      <c r="F798" s="667"/>
      <c r="G798" s="668"/>
      <c r="H798" s="1408"/>
      <c r="I798" s="65"/>
      <c r="J798" s="66"/>
      <c r="K798" s="1407"/>
      <c r="L798" s="1409"/>
      <c r="M798" s="668"/>
    </row>
    <row r="799" spans="1:13" s="67" customFormat="1">
      <c r="A799" s="1406"/>
      <c r="B799" s="1407"/>
      <c r="C799" s="668"/>
      <c r="D799" s="666"/>
      <c r="E799" s="667"/>
      <c r="F799" s="667"/>
      <c r="G799" s="668"/>
      <c r="H799" s="1408"/>
      <c r="I799" s="65"/>
      <c r="J799" s="66"/>
      <c r="K799" s="1407"/>
      <c r="L799" s="1409"/>
      <c r="M799" s="668"/>
    </row>
    <row r="800" spans="1:13" s="67" customFormat="1">
      <c r="A800" s="1406"/>
      <c r="B800" s="1407"/>
      <c r="C800" s="668"/>
      <c r="D800" s="666"/>
      <c r="E800" s="667"/>
      <c r="F800" s="667"/>
      <c r="G800" s="668"/>
      <c r="H800" s="1408"/>
      <c r="I800" s="65"/>
      <c r="J800" s="66"/>
      <c r="K800" s="1407"/>
      <c r="L800" s="1409"/>
      <c r="M800" s="668"/>
    </row>
    <row r="801" spans="1:13" s="67" customFormat="1">
      <c r="A801" s="1406"/>
      <c r="B801" s="1407"/>
      <c r="C801" s="668"/>
      <c r="D801" s="666"/>
      <c r="E801" s="667"/>
      <c r="F801" s="667"/>
      <c r="G801" s="668"/>
      <c r="H801" s="1408"/>
      <c r="I801" s="65"/>
      <c r="J801" s="66"/>
      <c r="K801" s="1407"/>
      <c r="L801" s="1409"/>
      <c r="M801" s="668"/>
    </row>
    <row r="802" spans="1:13" s="67" customFormat="1">
      <c r="A802" s="1406"/>
      <c r="B802" s="1407"/>
      <c r="C802" s="668"/>
      <c r="D802" s="666"/>
      <c r="E802" s="667"/>
      <c r="F802" s="667"/>
      <c r="G802" s="668"/>
      <c r="H802" s="1408"/>
      <c r="I802" s="65"/>
      <c r="J802" s="66"/>
      <c r="K802" s="1407"/>
      <c r="L802" s="1409"/>
      <c r="M802" s="668"/>
    </row>
    <row r="803" spans="1:13" s="67" customFormat="1">
      <c r="A803" s="1406"/>
      <c r="B803" s="1407"/>
      <c r="C803" s="668"/>
      <c r="D803" s="666"/>
      <c r="E803" s="667"/>
      <c r="F803" s="667"/>
      <c r="G803" s="668"/>
      <c r="H803" s="1408"/>
      <c r="I803" s="65"/>
      <c r="J803" s="66"/>
      <c r="K803" s="1407"/>
      <c r="L803" s="1409"/>
      <c r="M803" s="668"/>
    </row>
    <row r="804" spans="1:13" s="67" customFormat="1">
      <c r="A804" s="1406"/>
      <c r="B804" s="1407"/>
      <c r="C804" s="668"/>
      <c r="D804" s="666"/>
      <c r="E804" s="667"/>
      <c r="F804" s="667"/>
      <c r="G804" s="668"/>
      <c r="H804" s="1408"/>
      <c r="I804" s="65"/>
      <c r="J804" s="66"/>
      <c r="K804" s="1407"/>
      <c r="L804" s="1409"/>
      <c r="M804" s="668"/>
    </row>
    <row r="805" spans="1:13" s="67" customFormat="1">
      <c r="A805" s="1406"/>
      <c r="B805" s="1407"/>
      <c r="C805" s="668"/>
      <c r="D805" s="666"/>
      <c r="E805" s="667"/>
      <c r="F805" s="667"/>
      <c r="G805" s="668"/>
      <c r="H805" s="1408"/>
      <c r="I805" s="65"/>
      <c r="J805" s="66"/>
      <c r="K805" s="1407"/>
      <c r="L805" s="1409"/>
      <c r="M805" s="668"/>
    </row>
    <row r="806" spans="1:13" s="67" customFormat="1">
      <c r="A806" s="1406"/>
      <c r="B806" s="1407"/>
      <c r="C806" s="668"/>
      <c r="D806" s="666"/>
      <c r="E806" s="667"/>
      <c r="F806" s="667"/>
      <c r="G806" s="668"/>
      <c r="H806" s="1408"/>
      <c r="I806" s="65"/>
      <c r="J806" s="66"/>
      <c r="K806" s="1407"/>
      <c r="L806" s="1409"/>
      <c r="M806" s="668"/>
    </row>
    <row r="807" spans="1:13" s="67" customFormat="1">
      <c r="A807" s="1406"/>
      <c r="B807" s="1407"/>
      <c r="C807" s="668"/>
      <c r="D807" s="666"/>
      <c r="E807" s="667"/>
      <c r="F807" s="667"/>
      <c r="G807" s="668"/>
      <c r="H807" s="1408"/>
      <c r="I807" s="65"/>
      <c r="J807" s="66"/>
      <c r="K807" s="1407"/>
      <c r="L807" s="1409"/>
      <c r="M807" s="668"/>
    </row>
    <row r="808" spans="1:13" s="67" customFormat="1">
      <c r="A808" s="1406"/>
      <c r="B808" s="1407"/>
      <c r="C808" s="668"/>
      <c r="D808" s="666"/>
      <c r="E808" s="667"/>
      <c r="F808" s="667"/>
      <c r="G808" s="668"/>
      <c r="H808" s="1408"/>
      <c r="I808" s="65"/>
      <c r="J808" s="66"/>
      <c r="K808" s="1407"/>
      <c r="L808" s="1409"/>
      <c r="M808" s="668"/>
    </row>
    <row r="809" spans="1:13" s="67" customFormat="1">
      <c r="A809" s="1406"/>
      <c r="B809" s="1407"/>
      <c r="C809" s="668"/>
      <c r="D809" s="666"/>
      <c r="E809" s="667"/>
      <c r="F809" s="667"/>
      <c r="G809" s="668"/>
      <c r="H809" s="1408"/>
      <c r="I809" s="65"/>
      <c r="J809" s="66"/>
      <c r="K809" s="1407"/>
      <c r="L809" s="1409"/>
      <c r="M809" s="668"/>
    </row>
    <row r="810" spans="1:13" s="67" customFormat="1">
      <c r="A810" s="1406"/>
      <c r="B810" s="1407"/>
      <c r="C810" s="668"/>
      <c r="D810" s="666"/>
      <c r="E810" s="667"/>
      <c r="F810" s="667"/>
      <c r="G810" s="668"/>
      <c r="H810" s="1408"/>
      <c r="I810" s="65"/>
      <c r="J810" s="66"/>
      <c r="K810" s="1407"/>
      <c r="L810" s="1409"/>
      <c r="M810" s="668"/>
    </row>
    <row r="811" spans="1:13" s="67" customFormat="1">
      <c r="A811" s="1406"/>
      <c r="B811" s="1407"/>
      <c r="C811" s="668"/>
      <c r="D811" s="666"/>
      <c r="E811" s="667"/>
      <c r="F811" s="667"/>
      <c r="G811" s="668"/>
      <c r="H811" s="1408"/>
      <c r="I811" s="65"/>
      <c r="J811" s="66"/>
      <c r="K811" s="1407"/>
      <c r="L811" s="1409"/>
      <c r="M811" s="668"/>
    </row>
    <row r="812" spans="1:13" s="67" customFormat="1">
      <c r="A812" s="1406"/>
      <c r="B812" s="1407"/>
      <c r="C812" s="668"/>
      <c r="D812" s="666"/>
      <c r="E812" s="667"/>
      <c r="F812" s="667"/>
      <c r="G812" s="668"/>
      <c r="H812" s="1408"/>
      <c r="I812" s="65"/>
      <c r="J812" s="66"/>
      <c r="K812" s="1407"/>
      <c r="L812" s="1409"/>
      <c r="M812" s="668"/>
    </row>
    <row r="813" spans="1:13" s="67" customFormat="1">
      <c r="A813" s="1406"/>
      <c r="B813" s="1407"/>
      <c r="C813" s="668"/>
      <c r="D813" s="666"/>
      <c r="E813" s="667"/>
      <c r="F813" s="667"/>
      <c r="G813" s="668"/>
      <c r="H813" s="1408"/>
      <c r="I813" s="65"/>
      <c r="J813" s="66"/>
      <c r="K813" s="1407"/>
      <c r="L813" s="1409"/>
      <c r="M813" s="668"/>
    </row>
    <row r="814" spans="1:13" s="67" customFormat="1">
      <c r="A814" s="1406"/>
      <c r="B814" s="1407"/>
      <c r="C814" s="668"/>
      <c r="D814" s="666"/>
      <c r="E814" s="667"/>
      <c r="F814" s="667"/>
      <c r="G814" s="668"/>
      <c r="H814" s="1408"/>
      <c r="I814" s="65"/>
      <c r="J814" s="66"/>
      <c r="K814" s="1407"/>
      <c r="L814" s="1409"/>
      <c r="M814" s="668"/>
    </row>
    <row r="815" spans="1:13" s="67" customFormat="1">
      <c r="A815" s="1406"/>
      <c r="B815" s="1407"/>
      <c r="C815" s="668"/>
      <c r="D815" s="666"/>
      <c r="E815" s="667"/>
      <c r="F815" s="667"/>
      <c r="G815" s="668"/>
      <c r="H815" s="1408"/>
      <c r="I815" s="65"/>
      <c r="J815" s="66"/>
      <c r="K815" s="1407"/>
      <c r="L815" s="1409"/>
      <c r="M815" s="668"/>
    </row>
    <row r="816" spans="1:13" s="67" customFormat="1">
      <c r="A816" s="1406"/>
      <c r="B816" s="1407"/>
      <c r="C816" s="668"/>
      <c r="D816" s="666"/>
      <c r="E816" s="667"/>
      <c r="F816" s="667"/>
      <c r="G816" s="668"/>
      <c r="H816" s="1408"/>
      <c r="I816" s="65"/>
      <c r="J816" s="66"/>
      <c r="K816" s="1407"/>
      <c r="L816" s="1409"/>
      <c r="M816" s="668"/>
    </row>
    <row r="817" spans="1:13" s="67" customFormat="1">
      <c r="A817" s="1406"/>
      <c r="B817" s="1407"/>
      <c r="C817" s="668"/>
      <c r="D817" s="666"/>
      <c r="E817" s="667"/>
      <c r="F817" s="667"/>
      <c r="G817" s="668"/>
      <c r="H817" s="1408"/>
      <c r="I817" s="65"/>
      <c r="J817" s="66"/>
      <c r="K817" s="1407"/>
      <c r="L817" s="1409"/>
      <c r="M817" s="668"/>
    </row>
    <row r="818" spans="1:13" s="67" customFormat="1">
      <c r="A818" s="1406"/>
      <c r="B818" s="1407"/>
      <c r="C818" s="668"/>
      <c r="D818" s="666"/>
      <c r="E818" s="667"/>
      <c r="F818" s="667"/>
      <c r="G818" s="668"/>
      <c r="H818" s="1408"/>
      <c r="I818" s="65"/>
      <c r="J818" s="66"/>
      <c r="K818" s="1407"/>
      <c r="L818" s="1409"/>
      <c r="M818" s="668"/>
    </row>
    <row r="819" spans="1:13" s="67" customFormat="1">
      <c r="A819" s="1406"/>
      <c r="B819" s="1407"/>
      <c r="C819" s="668"/>
      <c r="D819" s="666"/>
      <c r="E819" s="667"/>
      <c r="F819" s="667"/>
      <c r="G819" s="668"/>
      <c r="H819" s="1408"/>
      <c r="I819" s="65"/>
      <c r="J819" s="66"/>
      <c r="K819" s="1407"/>
      <c r="L819" s="1409"/>
      <c r="M819" s="668"/>
    </row>
    <row r="820" spans="1:13" s="67" customFormat="1">
      <c r="A820" s="1406"/>
      <c r="B820" s="1407"/>
      <c r="C820" s="668"/>
      <c r="D820" s="666"/>
      <c r="E820" s="667"/>
      <c r="F820" s="667"/>
      <c r="G820" s="668"/>
      <c r="H820" s="1408"/>
      <c r="I820" s="65"/>
      <c r="J820" s="66"/>
      <c r="K820" s="1407"/>
      <c r="L820" s="1409"/>
      <c r="M820" s="668"/>
    </row>
    <row r="821" spans="1:13" s="67" customFormat="1">
      <c r="A821" s="1406"/>
      <c r="B821" s="1407"/>
      <c r="C821" s="668"/>
      <c r="D821" s="666"/>
      <c r="E821" s="667"/>
      <c r="F821" s="667"/>
      <c r="G821" s="668"/>
      <c r="H821" s="1408"/>
      <c r="I821" s="65"/>
      <c r="J821" s="66"/>
      <c r="K821" s="1407"/>
      <c r="L821" s="1409"/>
      <c r="M821" s="668"/>
    </row>
    <row r="822" spans="1:13" s="67" customFormat="1">
      <c r="A822" s="1406"/>
      <c r="B822" s="1407"/>
      <c r="C822" s="668"/>
      <c r="D822" s="666"/>
      <c r="E822" s="667"/>
      <c r="F822" s="667"/>
      <c r="G822" s="668"/>
      <c r="H822" s="1408"/>
      <c r="I822" s="65"/>
      <c r="J822" s="66"/>
      <c r="K822" s="1407"/>
      <c r="L822" s="1409"/>
      <c r="M822" s="668"/>
    </row>
    <row r="823" spans="1:13" s="67" customFormat="1">
      <c r="A823" s="1406"/>
      <c r="B823" s="1407"/>
      <c r="C823" s="668"/>
      <c r="D823" s="666"/>
      <c r="E823" s="667"/>
      <c r="F823" s="667"/>
      <c r="G823" s="668"/>
      <c r="H823" s="1408"/>
      <c r="I823" s="65"/>
      <c r="J823" s="66"/>
      <c r="K823" s="1407"/>
      <c r="L823" s="1409"/>
      <c r="M823" s="668"/>
    </row>
    <row r="824" spans="1:13" s="67" customFormat="1">
      <c r="A824" s="1406"/>
      <c r="B824" s="1407"/>
      <c r="C824" s="668"/>
      <c r="D824" s="666"/>
      <c r="E824" s="667"/>
      <c r="F824" s="667"/>
      <c r="G824" s="668"/>
      <c r="H824" s="1408"/>
      <c r="I824" s="65"/>
      <c r="J824" s="66"/>
      <c r="K824" s="1407"/>
      <c r="L824" s="1409"/>
      <c r="M824" s="668"/>
    </row>
    <row r="825" spans="1:13" s="67" customFormat="1">
      <c r="A825" s="1406"/>
      <c r="B825" s="1407"/>
      <c r="C825" s="668"/>
      <c r="D825" s="666"/>
      <c r="E825" s="667"/>
      <c r="F825" s="667"/>
      <c r="G825" s="668"/>
      <c r="H825" s="1408"/>
      <c r="I825" s="65"/>
      <c r="J825" s="66"/>
      <c r="K825" s="1407"/>
      <c r="L825" s="1409"/>
      <c r="M825" s="668"/>
    </row>
    <row r="826" spans="1:13" s="67" customFormat="1">
      <c r="A826" s="1406"/>
      <c r="B826" s="1407"/>
      <c r="C826" s="668"/>
      <c r="D826" s="666"/>
      <c r="E826" s="667"/>
      <c r="F826" s="667"/>
      <c r="G826" s="668"/>
      <c r="H826" s="1408"/>
      <c r="I826" s="65"/>
      <c r="J826" s="66"/>
      <c r="K826" s="1407"/>
      <c r="L826" s="1409"/>
      <c r="M826" s="668"/>
    </row>
    <row r="827" spans="1:13" s="67" customFormat="1">
      <c r="A827" s="1406"/>
      <c r="B827" s="1407"/>
      <c r="C827" s="668"/>
      <c r="D827" s="666"/>
      <c r="E827" s="667"/>
      <c r="F827" s="667"/>
      <c r="G827" s="668"/>
      <c r="H827" s="1408"/>
      <c r="I827" s="65"/>
      <c r="J827" s="66"/>
      <c r="K827" s="1407"/>
      <c r="L827" s="1409"/>
      <c r="M827" s="668"/>
    </row>
    <row r="828" spans="1:13" s="67" customFormat="1">
      <c r="A828" s="1406"/>
      <c r="B828" s="1407"/>
      <c r="C828" s="668"/>
      <c r="D828" s="666"/>
      <c r="E828" s="667"/>
      <c r="F828" s="667"/>
      <c r="G828" s="668"/>
      <c r="H828" s="1408"/>
      <c r="I828" s="65"/>
      <c r="J828" s="66"/>
      <c r="K828" s="1407"/>
      <c r="L828" s="1409"/>
      <c r="M828" s="668"/>
    </row>
    <row r="829" spans="1:13" s="67" customFormat="1">
      <c r="A829" s="1406"/>
      <c r="B829" s="1407"/>
      <c r="C829" s="668"/>
      <c r="D829" s="666"/>
      <c r="E829" s="667"/>
      <c r="F829" s="667"/>
      <c r="G829" s="668"/>
      <c r="H829" s="1408"/>
      <c r="I829" s="65"/>
      <c r="J829" s="66"/>
      <c r="K829" s="1407"/>
      <c r="L829" s="1409"/>
      <c r="M829" s="668"/>
    </row>
    <row r="830" spans="1:13" s="67" customFormat="1">
      <c r="A830" s="1406"/>
      <c r="B830" s="1407"/>
      <c r="C830" s="668"/>
      <c r="D830" s="666"/>
      <c r="E830" s="667"/>
      <c r="F830" s="667"/>
      <c r="G830" s="668"/>
      <c r="H830" s="1408"/>
      <c r="I830" s="65"/>
      <c r="J830" s="66"/>
      <c r="K830" s="1407"/>
      <c r="L830" s="1409"/>
      <c r="M830" s="668"/>
    </row>
    <row r="831" spans="1:13" s="67" customFormat="1">
      <c r="A831" s="1406"/>
      <c r="B831" s="1407"/>
      <c r="C831" s="668"/>
      <c r="D831" s="666"/>
      <c r="E831" s="667"/>
      <c r="F831" s="667"/>
      <c r="G831" s="668"/>
      <c r="H831" s="1408"/>
      <c r="I831" s="65"/>
      <c r="J831" s="66"/>
      <c r="K831" s="1407"/>
      <c r="L831" s="1409"/>
      <c r="M831" s="668"/>
    </row>
    <row r="832" spans="1:13" s="67" customFormat="1">
      <c r="A832" s="1406"/>
      <c r="B832" s="1407"/>
      <c r="C832" s="668"/>
      <c r="D832" s="666"/>
      <c r="E832" s="667"/>
      <c r="F832" s="667"/>
      <c r="G832" s="668"/>
      <c r="H832" s="1408"/>
      <c r="I832" s="65"/>
      <c r="J832" s="66"/>
      <c r="K832" s="1407"/>
      <c r="L832" s="1409"/>
      <c r="M832" s="668"/>
    </row>
    <row r="833" spans="1:13" s="67" customFormat="1">
      <c r="A833" s="1406"/>
      <c r="B833" s="1407"/>
      <c r="C833" s="668"/>
      <c r="D833" s="666"/>
      <c r="E833" s="667"/>
      <c r="F833" s="667"/>
      <c r="G833" s="668"/>
      <c r="H833" s="1408"/>
      <c r="I833" s="65"/>
      <c r="J833" s="66"/>
      <c r="K833" s="1407"/>
      <c r="L833" s="1409"/>
      <c r="M833" s="668"/>
    </row>
    <row r="834" spans="1:13" s="67" customFormat="1">
      <c r="A834" s="1406"/>
      <c r="B834" s="1407"/>
      <c r="C834" s="668"/>
      <c r="D834" s="666"/>
      <c r="E834" s="667"/>
      <c r="F834" s="667"/>
      <c r="G834" s="668"/>
      <c r="H834" s="1408"/>
      <c r="I834" s="65"/>
      <c r="J834" s="66"/>
      <c r="K834" s="1407"/>
      <c r="L834" s="1409"/>
      <c r="M834" s="668"/>
    </row>
    <row r="835" spans="1:13" s="67" customFormat="1">
      <c r="A835" s="1406"/>
      <c r="B835" s="1407"/>
      <c r="C835" s="668"/>
      <c r="D835" s="666"/>
      <c r="E835" s="667"/>
      <c r="F835" s="667"/>
      <c r="G835" s="668"/>
      <c r="H835" s="1408"/>
      <c r="I835" s="65"/>
      <c r="J835" s="66"/>
      <c r="K835" s="1407"/>
      <c r="L835" s="1409"/>
      <c r="M835" s="668"/>
    </row>
    <row r="836" spans="1:13" s="67" customFormat="1">
      <c r="A836" s="1406"/>
      <c r="B836" s="1407"/>
      <c r="C836" s="668"/>
      <c r="D836" s="666"/>
      <c r="E836" s="667"/>
      <c r="F836" s="667"/>
      <c r="G836" s="668"/>
      <c r="H836" s="1408"/>
      <c r="I836" s="65"/>
      <c r="J836" s="66"/>
      <c r="K836" s="1407"/>
      <c r="L836" s="1409"/>
      <c r="M836" s="668"/>
    </row>
    <row r="837" spans="1:13" s="67" customFormat="1">
      <c r="A837" s="1406"/>
      <c r="B837" s="1407"/>
      <c r="C837" s="668"/>
      <c r="D837" s="666"/>
      <c r="E837" s="667"/>
      <c r="F837" s="667"/>
      <c r="G837" s="668"/>
      <c r="H837" s="1408"/>
      <c r="I837" s="65"/>
      <c r="J837" s="66"/>
      <c r="K837" s="1407"/>
      <c r="L837" s="1409"/>
      <c r="M837" s="668"/>
    </row>
    <row r="838" spans="1:13" s="67" customFormat="1">
      <c r="A838" s="1406"/>
      <c r="B838" s="1407"/>
      <c r="C838" s="668"/>
      <c r="D838" s="666"/>
      <c r="E838" s="667"/>
      <c r="F838" s="667"/>
      <c r="G838" s="668"/>
      <c r="H838" s="1408"/>
      <c r="I838" s="65"/>
      <c r="J838" s="66"/>
      <c r="K838" s="1407"/>
      <c r="L838" s="1409"/>
      <c r="M838" s="668"/>
    </row>
    <row r="839" spans="1:13" s="67" customFormat="1">
      <c r="A839" s="1406"/>
      <c r="B839" s="1407"/>
      <c r="C839" s="668"/>
      <c r="D839" s="666"/>
      <c r="E839" s="667"/>
      <c r="F839" s="667"/>
      <c r="G839" s="668"/>
      <c r="H839" s="1408"/>
      <c r="I839" s="65"/>
      <c r="J839" s="66"/>
      <c r="K839" s="1407"/>
      <c r="L839" s="1409"/>
      <c r="M839" s="668"/>
    </row>
    <row r="840" spans="1:13" s="67" customFormat="1">
      <c r="A840" s="1406"/>
      <c r="B840" s="1407"/>
      <c r="C840" s="668"/>
      <c r="D840" s="666"/>
      <c r="E840" s="667"/>
      <c r="F840" s="667"/>
      <c r="G840" s="668"/>
      <c r="H840" s="1408"/>
      <c r="I840" s="65"/>
      <c r="J840" s="66"/>
      <c r="K840" s="1407"/>
      <c r="L840" s="1409"/>
      <c r="M840" s="668"/>
    </row>
    <row r="841" spans="1:13" s="67" customFormat="1">
      <c r="A841" s="1406"/>
      <c r="B841" s="1407"/>
      <c r="C841" s="668"/>
      <c r="D841" s="666"/>
      <c r="E841" s="667"/>
      <c r="F841" s="667"/>
      <c r="G841" s="668"/>
      <c r="H841" s="1408"/>
      <c r="I841" s="65"/>
      <c r="J841" s="66"/>
      <c r="K841" s="1407"/>
      <c r="L841" s="1409"/>
      <c r="M841" s="668"/>
    </row>
    <row r="842" spans="1:13" s="67" customFormat="1">
      <c r="A842" s="1406"/>
      <c r="B842" s="1407"/>
      <c r="C842" s="668"/>
      <c r="D842" s="666"/>
      <c r="E842" s="667"/>
      <c r="F842" s="667"/>
      <c r="G842" s="668"/>
      <c r="H842" s="1408"/>
      <c r="I842" s="65"/>
      <c r="J842" s="66"/>
      <c r="K842" s="1407"/>
      <c r="L842" s="1409"/>
      <c r="M842" s="668"/>
    </row>
    <row r="843" spans="1:13" s="67" customFormat="1">
      <c r="A843" s="1406"/>
      <c r="B843" s="1407"/>
      <c r="C843" s="668"/>
      <c r="D843" s="666"/>
      <c r="E843" s="667"/>
      <c r="F843" s="667"/>
      <c r="G843" s="668"/>
      <c r="H843" s="1408"/>
      <c r="I843" s="65"/>
      <c r="J843" s="66"/>
      <c r="K843" s="1407"/>
      <c r="L843" s="1409"/>
      <c r="M843" s="668"/>
    </row>
    <row r="844" spans="1:13" s="67" customFormat="1">
      <c r="A844" s="1406"/>
      <c r="B844" s="1407"/>
      <c r="C844" s="668"/>
      <c r="D844" s="666"/>
      <c r="E844" s="667"/>
      <c r="F844" s="667"/>
      <c r="G844" s="668"/>
      <c r="H844" s="1408"/>
      <c r="I844" s="65"/>
      <c r="J844" s="66"/>
      <c r="K844" s="1407"/>
      <c r="L844" s="1409"/>
      <c r="M844" s="668"/>
    </row>
    <row r="845" spans="1:13" s="67" customFormat="1">
      <c r="A845" s="1406"/>
      <c r="B845" s="1407"/>
      <c r="C845" s="668"/>
      <c r="D845" s="666"/>
      <c r="E845" s="667"/>
      <c r="F845" s="667"/>
      <c r="G845" s="668"/>
      <c r="H845" s="1408"/>
      <c r="I845" s="65"/>
      <c r="J845" s="66"/>
      <c r="K845" s="1407"/>
      <c r="L845" s="1409"/>
      <c r="M845" s="668"/>
    </row>
    <row r="846" spans="1:13" s="67" customFormat="1">
      <c r="A846" s="1406"/>
      <c r="B846" s="1407"/>
      <c r="C846" s="668"/>
      <c r="D846" s="666"/>
      <c r="E846" s="667"/>
      <c r="F846" s="667"/>
      <c r="G846" s="668"/>
      <c r="H846" s="1408"/>
      <c r="I846" s="65"/>
      <c r="J846" s="66"/>
      <c r="K846" s="1407"/>
      <c r="L846" s="1409"/>
      <c r="M846" s="668"/>
    </row>
    <row r="847" spans="1:13" s="67" customFormat="1">
      <c r="A847" s="1406"/>
      <c r="B847" s="1407"/>
      <c r="C847" s="668"/>
      <c r="D847" s="666"/>
      <c r="E847" s="667"/>
      <c r="F847" s="667"/>
      <c r="G847" s="668"/>
      <c r="H847" s="1408"/>
      <c r="I847" s="65"/>
      <c r="J847" s="66"/>
      <c r="K847" s="1407"/>
      <c r="L847" s="1409"/>
      <c r="M847" s="668"/>
    </row>
    <row r="848" spans="1:13" s="67" customFormat="1">
      <c r="A848" s="1406"/>
      <c r="B848" s="1407"/>
      <c r="C848" s="668"/>
      <c r="D848" s="666"/>
      <c r="E848" s="667"/>
      <c r="F848" s="667"/>
      <c r="G848" s="668"/>
      <c r="H848" s="1408"/>
      <c r="I848" s="65"/>
      <c r="J848" s="66"/>
      <c r="K848" s="1407"/>
      <c r="L848" s="1409"/>
      <c r="M848" s="668"/>
    </row>
    <row r="849" spans="1:13" s="67" customFormat="1">
      <c r="A849" s="1406"/>
      <c r="B849" s="1407"/>
      <c r="C849" s="668"/>
      <c r="D849" s="666"/>
      <c r="E849" s="667"/>
      <c r="F849" s="667"/>
      <c r="G849" s="668"/>
      <c r="H849" s="1408"/>
      <c r="I849" s="65"/>
      <c r="J849" s="66"/>
      <c r="K849" s="1407"/>
      <c r="L849" s="1409"/>
      <c r="M849" s="668"/>
    </row>
    <row r="850" spans="1:13" s="67" customFormat="1">
      <c r="A850" s="1406"/>
      <c r="B850" s="1407"/>
      <c r="C850" s="668"/>
      <c r="D850" s="666"/>
      <c r="E850" s="667"/>
      <c r="F850" s="667"/>
      <c r="G850" s="668"/>
      <c r="H850" s="1408"/>
      <c r="I850" s="65"/>
      <c r="J850" s="66"/>
      <c r="K850" s="1407"/>
      <c r="L850" s="1409"/>
      <c r="M850" s="668"/>
    </row>
    <row r="851" spans="1:13" s="67" customFormat="1">
      <c r="A851" s="1406"/>
      <c r="B851" s="1407"/>
      <c r="C851" s="668"/>
      <c r="D851" s="666"/>
      <c r="E851" s="667"/>
      <c r="F851" s="667"/>
      <c r="G851" s="668"/>
      <c r="H851" s="1408"/>
      <c r="I851" s="65"/>
      <c r="J851" s="66"/>
      <c r="K851" s="1407"/>
      <c r="L851" s="1409"/>
      <c r="M851" s="668"/>
    </row>
    <row r="852" spans="1:13" s="67" customFormat="1">
      <c r="A852" s="1406"/>
      <c r="B852" s="1407"/>
      <c r="C852" s="668"/>
      <c r="D852" s="666"/>
      <c r="E852" s="667"/>
      <c r="F852" s="667"/>
      <c r="G852" s="668"/>
      <c r="H852" s="1408"/>
      <c r="I852" s="65"/>
      <c r="J852" s="66"/>
      <c r="K852" s="1407"/>
      <c r="L852" s="1409"/>
      <c r="M852" s="668"/>
    </row>
    <row r="853" spans="1:13" s="67" customFormat="1">
      <c r="A853" s="1406"/>
      <c r="B853" s="1407"/>
      <c r="C853" s="668"/>
      <c r="D853" s="666"/>
      <c r="E853" s="667"/>
      <c r="F853" s="667"/>
      <c r="G853" s="668"/>
      <c r="H853" s="1408"/>
      <c r="I853" s="65"/>
      <c r="J853" s="66"/>
      <c r="K853" s="1407"/>
      <c r="L853" s="1409"/>
      <c r="M853" s="668"/>
    </row>
    <row r="854" spans="1:13" s="67" customFormat="1">
      <c r="A854" s="1406"/>
      <c r="B854" s="1407"/>
      <c r="C854" s="668"/>
      <c r="D854" s="666"/>
      <c r="E854" s="667"/>
      <c r="F854" s="667"/>
      <c r="G854" s="668"/>
      <c r="H854" s="1408"/>
      <c r="I854" s="65"/>
      <c r="J854" s="66"/>
      <c r="K854" s="1407"/>
      <c r="L854" s="1409"/>
      <c r="M854" s="668"/>
    </row>
    <row r="855" spans="1:13" s="67" customFormat="1">
      <c r="A855" s="1406"/>
      <c r="B855" s="1407"/>
      <c r="C855" s="668"/>
      <c r="D855" s="666"/>
      <c r="E855" s="667"/>
      <c r="F855" s="667"/>
      <c r="G855" s="668"/>
      <c r="H855" s="1408"/>
      <c r="I855" s="65"/>
      <c r="J855" s="66"/>
      <c r="K855" s="1407"/>
      <c r="L855" s="1409"/>
      <c r="M855" s="668"/>
    </row>
    <row r="856" spans="1:13" s="67" customFormat="1">
      <c r="A856" s="1406"/>
      <c r="B856" s="1407"/>
      <c r="C856" s="668"/>
      <c r="D856" s="666"/>
      <c r="E856" s="667"/>
      <c r="F856" s="667"/>
      <c r="G856" s="668"/>
      <c r="H856" s="1408"/>
      <c r="I856" s="65"/>
      <c r="J856" s="66"/>
      <c r="K856" s="1407"/>
      <c r="L856" s="1409"/>
      <c r="M856" s="668"/>
    </row>
    <row r="857" spans="1:13" s="67" customFormat="1">
      <c r="A857" s="1406"/>
      <c r="B857" s="1407"/>
      <c r="C857" s="668"/>
      <c r="D857" s="666"/>
      <c r="E857" s="667"/>
      <c r="F857" s="667"/>
      <c r="G857" s="668"/>
      <c r="H857" s="1408"/>
      <c r="I857" s="65"/>
      <c r="J857" s="66"/>
      <c r="K857" s="1407"/>
      <c r="L857" s="1409"/>
      <c r="M857" s="668"/>
    </row>
    <row r="858" spans="1:13" s="67" customFormat="1">
      <c r="A858" s="1406"/>
      <c r="B858" s="1407"/>
      <c r="C858" s="668"/>
      <c r="D858" s="666"/>
      <c r="E858" s="667"/>
      <c r="F858" s="667"/>
      <c r="G858" s="668"/>
      <c r="H858" s="1408"/>
      <c r="I858" s="65"/>
      <c r="J858" s="66"/>
      <c r="K858" s="1407"/>
      <c r="L858" s="1409"/>
      <c r="M858" s="668"/>
    </row>
    <row r="859" spans="1:13" s="67" customFormat="1">
      <c r="A859" s="1406"/>
      <c r="B859" s="1407"/>
      <c r="C859" s="668"/>
      <c r="D859" s="666"/>
      <c r="E859" s="667"/>
      <c r="F859" s="667"/>
      <c r="G859" s="668"/>
      <c r="H859" s="1408"/>
      <c r="I859" s="65"/>
      <c r="J859" s="66"/>
      <c r="K859" s="1407"/>
      <c r="L859" s="1409"/>
      <c r="M859" s="668"/>
    </row>
    <row r="860" spans="1:13" s="67" customFormat="1">
      <c r="A860" s="1406"/>
      <c r="B860" s="1407"/>
      <c r="C860" s="668"/>
      <c r="D860" s="666"/>
      <c r="E860" s="667"/>
      <c r="F860" s="667"/>
      <c r="G860" s="668"/>
      <c r="H860" s="1408"/>
      <c r="I860" s="65"/>
      <c r="J860" s="66"/>
      <c r="K860" s="1407"/>
      <c r="L860" s="1409"/>
      <c r="M860" s="668"/>
    </row>
    <row r="861" spans="1:13" s="67" customFormat="1">
      <c r="A861" s="1406"/>
      <c r="B861" s="1407"/>
      <c r="C861" s="668"/>
      <c r="D861" s="666"/>
      <c r="E861" s="667"/>
      <c r="F861" s="667"/>
      <c r="G861" s="668"/>
      <c r="H861" s="1408"/>
      <c r="I861" s="65"/>
      <c r="J861" s="66"/>
      <c r="K861" s="1407"/>
      <c r="L861" s="1409"/>
      <c r="M861" s="668"/>
    </row>
    <row r="862" spans="1:13" s="67" customFormat="1">
      <c r="A862" s="1406"/>
      <c r="B862" s="1407"/>
      <c r="C862" s="668"/>
      <c r="D862" s="666"/>
      <c r="E862" s="667"/>
      <c r="F862" s="667"/>
      <c r="G862" s="668"/>
      <c r="H862" s="1408"/>
      <c r="I862" s="65"/>
      <c r="J862" s="66"/>
      <c r="K862" s="1407"/>
      <c r="L862" s="1409"/>
      <c r="M862" s="668"/>
    </row>
    <row r="863" spans="1:13" s="67" customFormat="1">
      <c r="A863" s="1406"/>
      <c r="B863" s="1407"/>
      <c r="C863" s="668"/>
      <c r="D863" s="666"/>
      <c r="E863" s="667"/>
      <c r="F863" s="667"/>
      <c r="G863" s="668"/>
      <c r="H863" s="1408"/>
      <c r="I863" s="65"/>
      <c r="J863" s="66"/>
      <c r="K863" s="1407"/>
      <c r="L863" s="1409"/>
      <c r="M863" s="668"/>
    </row>
    <row r="864" spans="1:13" s="67" customFormat="1">
      <c r="A864" s="1406"/>
      <c r="B864" s="1407"/>
      <c r="C864" s="668"/>
      <c r="D864" s="666"/>
      <c r="E864" s="667"/>
      <c r="F864" s="667"/>
      <c r="G864" s="668"/>
      <c r="H864" s="1408"/>
      <c r="I864" s="65"/>
      <c r="J864" s="66"/>
      <c r="K864" s="1407"/>
      <c r="L864" s="1409"/>
      <c r="M864" s="668"/>
    </row>
    <row r="865" spans="1:13" s="67" customFormat="1">
      <c r="A865" s="1406"/>
      <c r="B865" s="1407"/>
      <c r="C865" s="668"/>
      <c r="D865" s="666"/>
      <c r="E865" s="667"/>
      <c r="F865" s="667"/>
      <c r="G865" s="668"/>
      <c r="H865" s="1408"/>
      <c r="I865" s="65"/>
      <c r="J865" s="66"/>
      <c r="K865" s="1407"/>
      <c r="L865" s="1409"/>
      <c r="M865" s="668"/>
    </row>
    <row r="866" spans="1:13" s="67" customFormat="1">
      <c r="A866" s="1406"/>
      <c r="B866" s="1407"/>
      <c r="C866" s="668"/>
      <c r="D866" s="666"/>
      <c r="E866" s="667"/>
      <c r="F866" s="667"/>
      <c r="G866" s="668"/>
      <c r="H866" s="1408"/>
      <c r="I866" s="65"/>
      <c r="J866" s="66"/>
      <c r="K866" s="1407"/>
      <c r="L866" s="1409"/>
      <c r="M866" s="668"/>
    </row>
    <row r="867" spans="1:13" s="67" customFormat="1">
      <c r="A867" s="1406"/>
      <c r="B867" s="1407"/>
      <c r="C867" s="668"/>
      <c r="D867" s="666"/>
      <c r="E867" s="667"/>
      <c r="F867" s="667"/>
      <c r="G867" s="668"/>
      <c r="H867" s="1408"/>
      <c r="I867" s="65"/>
      <c r="J867" s="66"/>
      <c r="K867" s="1407"/>
      <c r="L867" s="1409"/>
      <c r="M867" s="668"/>
    </row>
    <row r="868" spans="1:13" s="67" customFormat="1">
      <c r="A868" s="1406"/>
      <c r="B868" s="1407"/>
      <c r="C868" s="668"/>
      <c r="D868" s="666"/>
      <c r="E868" s="667"/>
      <c r="F868" s="667"/>
      <c r="G868" s="668"/>
      <c r="H868" s="1408"/>
      <c r="I868" s="65"/>
      <c r="J868" s="66"/>
      <c r="K868" s="1407"/>
      <c r="L868" s="1409"/>
      <c r="M868" s="668"/>
    </row>
    <row r="869" spans="1:13" s="67" customFormat="1">
      <c r="A869" s="1406"/>
      <c r="B869" s="1407"/>
      <c r="C869" s="668"/>
      <c r="D869" s="666"/>
      <c r="E869" s="667"/>
      <c r="F869" s="667"/>
      <c r="G869" s="668"/>
      <c r="H869" s="1408"/>
      <c r="I869" s="65"/>
      <c r="J869" s="66"/>
      <c r="K869" s="1407"/>
      <c r="L869" s="1409"/>
      <c r="M869" s="668"/>
    </row>
    <row r="870" spans="1:13" s="67" customFormat="1">
      <c r="A870" s="1406"/>
      <c r="B870" s="1407"/>
      <c r="C870" s="668"/>
      <c r="D870" s="666"/>
      <c r="E870" s="667"/>
      <c r="F870" s="667"/>
      <c r="G870" s="668"/>
      <c r="H870" s="1408"/>
      <c r="I870" s="65"/>
      <c r="J870" s="66"/>
      <c r="K870" s="1407"/>
      <c r="L870" s="1409"/>
      <c r="M870" s="668"/>
    </row>
    <row r="871" spans="1:13" s="67" customFormat="1">
      <c r="A871" s="1406"/>
      <c r="B871" s="1407"/>
      <c r="C871" s="668"/>
      <c r="D871" s="666"/>
      <c r="E871" s="667"/>
      <c r="F871" s="667"/>
      <c r="G871" s="668"/>
      <c r="H871" s="1408"/>
      <c r="I871" s="65"/>
      <c r="J871" s="66"/>
      <c r="K871" s="1407"/>
      <c r="L871" s="1409"/>
      <c r="M871" s="668"/>
    </row>
    <row r="872" spans="1:13" s="67" customFormat="1">
      <c r="A872" s="1406"/>
      <c r="B872" s="1407"/>
      <c r="C872" s="668"/>
      <c r="D872" s="666"/>
      <c r="E872" s="667"/>
      <c r="F872" s="667"/>
      <c r="G872" s="668"/>
      <c r="H872" s="1408"/>
      <c r="I872" s="65"/>
      <c r="J872" s="66"/>
      <c r="K872" s="1407"/>
      <c r="L872" s="1409"/>
      <c r="M872" s="668"/>
    </row>
    <row r="873" spans="1:13" s="67" customFormat="1">
      <c r="A873" s="1406"/>
      <c r="B873" s="1407"/>
      <c r="C873" s="668"/>
      <c r="D873" s="666"/>
      <c r="E873" s="667"/>
      <c r="F873" s="667"/>
      <c r="G873" s="668"/>
      <c r="H873" s="1408"/>
      <c r="I873" s="65"/>
      <c r="J873" s="66"/>
      <c r="K873" s="1407"/>
      <c r="L873" s="1409"/>
      <c r="M873" s="668"/>
    </row>
    <row r="874" spans="1:13" s="67" customFormat="1">
      <c r="A874" s="1406"/>
      <c r="B874" s="1407"/>
      <c r="C874" s="668"/>
      <c r="D874" s="666"/>
      <c r="E874" s="667"/>
      <c r="F874" s="667"/>
      <c r="G874" s="668"/>
      <c r="H874" s="1408"/>
      <c r="I874" s="65"/>
      <c r="J874" s="66"/>
      <c r="K874" s="1407"/>
      <c r="L874" s="1409"/>
      <c r="M874" s="668"/>
    </row>
    <row r="875" spans="1:13" s="67" customFormat="1">
      <c r="A875" s="1406"/>
      <c r="B875" s="1407"/>
      <c r="C875" s="668"/>
      <c r="D875" s="666"/>
      <c r="E875" s="667"/>
      <c r="F875" s="667"/>
      <c r="G875" s="668"/>
      <c r="H875" s="1408"/>
      <c r="I875" s="65"/>
      <c r="J875" s="66"/>
      <c r="K875" s="1407"/>
      <c r="L875" s="1409"/>
      <c r="M875" s="668"/>
    </row>
    <row r="876" spans="1:13" s="67" customFormat="1">
      <c r="A876" s="1406"/>
      <c r="B876" s="1407"/>
      <c r="C876" s="668"/>
      <c r="D876" s="666"/>
      <c r="E876" s="667"/>
      <c r="F876" s="667"/>
      <c r="G876" s="668"/>
      <c r="H876" s="1408"/>
      <c r="I876" s="65"/>
      <c r="J876" s="66"/>
      <c r="K876" s="1407"/>
      <c r="L876" s="1409"/>
      <c r="M876" s="668"/>
    </row>
    <row r="877" spans="1:13" s="67" customFormat="1">
      <c r="A877" s="1406"/>
      <c r="B877" s="1407"/>
      <c r="C877" s="668"/>
      <c r="D877" s="666"/>
      <c r="E877" s="667"/>
      <c r="F877" s="667"/>
      <c r="G877" s="668"/>
      <c r="H877" s="1408"/>
      <c r="I877" s="65"/>
      <c r="J877" s="66"/>
      <c r="K877" s="1407"/>
      <c r="L877" s="1409"/>
      <c r="M877" s="668"/>
    </row>
    <row r="878" spans="1:13" s="67" customFormat="1">
      <c r="A878" s="1406"/>
      <c r="B878" s="1407"/>
      <c r="C878" s="668"/>
      <c r="D878" s="666"/>
      <c r="E878" s="667"/>
      <c r="F878" s="667"/>
      <c r="G878" s="668"/>
      <c r="H878" s="1408"/>
      <c r="I878" s="65"/>
      <c r="J878" s="66"/>
      <c r="K878" s="1407"/>
      <c r="L878" s="1409"/>
      <c r="M878" s="668"/>
    </row>
    <row r="879" spans="1:13" s="67" customFormat="1">
      <c r="A879" s="1406"/>
      <c r="B879" s="1407"/>
      <c r="C879" s="668"/>
      <c r="D879" s="666"/>
      <c r="E879" s="667"/>
      <c r="F879" s="667"/>
      <c r="G879" s="668"/>
      <c r="H879" s="1408"/>
      <c r="I879" s="65"/>
      <c r="J879" s="66"/>
      <c r="K879" s="1407"/>
      <c r="L879" s="1409"/>
      <c r="M879" s="668"/>
    </row>
    <row r="880" spans="1:13" s="67" customFormat="1">
      <c r="A880" s="1406"/>
      <c r="B880" s="1407"/>
      <c r="C880" s="668"/>
      <c r="D880" s="666"/>
      <c r="E880" s="667"/>
      <c r="F880" s="667"/>
      <c r="G880" s="668"/>
      <c r="H880" s="1408"/>
      <c r="I880" s="65"/>
      <c r="J880" s="66"/>
      <c r="K880" s="1407"/>
      <c r="L880" s="1409"/>
      <c r="M880" s="668"/>
    </row>
    <row r="881" spans="1:13" s="67" customFormat="1">
      <c r="A881" s="1406"/>
      <c r="B881" s="1407"/>
      <c r="C881" s="668"/>
      <c r="D881" s="666"/>
      <c r="E881" s="667"/>
      <c r="F881" s="667"/>
      <c r="G881" s="668"/>
      <c r="H881" s="1408"/>
      <c r="I881" s="65"/>
      <c r="J881" s="66"/>
      <c r="K881" s="1407"/>
      <c r="L881" s="1409"/>
      <c r="M881" s="668"/>
    </row>
    <row r="882" spans="1:13" s="67" customFormat="1">
      <c r="A882" s="1406"/>
      <c r="B882" s="1407"/>
      <c r="C882" s="668"/>
      <c r="D882" s="666"/>
      <c r="E882" s="667"/>
      <c r="F882" s="667"/>
      <c r="G882" s="668"/>
      <c r="H882" s="1408"/>
      <c r="I882" s="65"/>
      <c r="J882" s="66"/>
      <c r="K882" s="1407"/>
      <c r="L882" s="1409"/>
      <c r="M882" s="668"/>
    </row>
    <row r="883" spans="1:13" s="67" customFormat="1">
      <c r="A883" s="1406"/>
      <c r="B883" s="1407"/>
      <c r="C883" s="668"/>
      <c r="D883" s="666"/>
      <c r="E883" s="667"/>
      <c r="F883" s="667"/>
      <c r="G883" s="668"/>
      <c r="H883" s="1408"/>
      <c r="I883" s="65"/>
      <c r="J883" s="66"/>
      <c r="K883" s="1407"/>
      <c r="L883" s="1409"/>
      <c r="M883" s="668"/>
    </row>
    <row r="884" spans="1:13" s="67" customFormat="1">
      <c r="A884" s="1406"/>
      <c r="B884" s="1407"/>
      <c r="C884" s="668"/>
      <c r="D884" s="666"/>
      <c r="E884" s="667"/>
      <c r="F884" s="667"/>
      <c r="G884" s="668"/>
      <c r="H884" s="1408"/>
      <c r="I884" s="65"/>
      <c r="J884" s="66"/>
      <c r="K884" s="1407"/>
      <c r="L884" s="1409"/>
      <c r="M884" s="668"/>
    </row>
    <row r="885" spans="1:13" s="67" customFormat="1">
      <c r="A885" s="1406"/>
      <c r="B885" s="1407"/>
      <c r="C885" s="668"/>
      <c r="D885" s="666"/>
      <c r="E885" s="667"/>
      <c r="F885" s="667"/>
      <c r="G885" s="668"/>
      <c r="H885" s="1408"/>
      <c r="I885" s="65"/>
      <c r="J885" s="66"/>
      <c r="K885" s="1407"/>
      <c r="L885" s="1409"/>
      <c r="M885" s="668"/>
    </row>
    <row r="886" spans="1:13" s="67" customFormat="1">
      <c r="A886" s="1406"/>
      <c r="B886" s="1407"/>
      <c r="C886" s="668"/>
      <c r="D886" s="666"/>
      <c r="E886" s="667"/>
      <c r="F886" s="667"/>
      <c r="G886" s="668"/>
      <c r="H886" s="1408"/>
      <c r="I886" s="65"/>
      <c r="J886" s="66"/>
      <c r="K886" s="1407"/>
      <c r="L886" s="1409"/>
      <c r="M886" s="668"/>
    </row>
    <row r="887" spans="1:13" s="67" customFormat="1">
      <c r="A887" s="1406"/>
      <c r="B887" s="1407"/>
      <c r="C887" s="668"/>
      <c r="D887" s="666"/>
      <c r="E887" s="667"/>
      <c r="F887" s="667"/>
      <c r="G887" s="668"/>
      <c r="H887" s="1408"/>
      <c r="I887" s="65"/>
      <c r="J887" s="66"/>
      <c r="K887" s="1407"/>
      <c r="L887" s="1409"/>
      <c r="M887" s="668"/>
    </row>
    <row r="888" spans="1:13" s="67" customFormat="1">
      <c r="A888" s="1406"/>
      <c r="B888" s="1407"/>
      <c r="C888" s="668"/>
      <c r="D888" s="666"/>
      <c r="E888" s="667"/>
      <c r="F888" s="667"/>
      <c r="G888" s="668"/>
      <c r="H888" s="1408"/>
      <c r="I888" s="65"/>
      <c r="J888" s="66"/>
      <c r="K888" s="1407"/>
      <c r="L888" s="1409"/>
      <c r="M888" s="668"/>
    </row>
    <row r="889" spans="1:13" s="67" customFormat="1">
      <c r="A889" s="1406"/>
      <c r="B889" s="1407"/>
      <c r="C889" s="668"/>
      <c r="D889" s="666"/>
      <c r="E889" s="667"/>
      <c r="F889" s="667"/>
      <c r="G889" s="668"/>
      <c r="H889" s="1408"/>
      <c r="I889" s="65"/>
      <c r="J889" s="66"/>
      <c r="K889" s="1407"/>
      <c r="L889" s="1409"/>
      <c r="M889" s="668"/>
    </row>
    <row r="890" spans="1:13" s="67" customFormat="1">
      <c r="A890" s="1406"/>
      <c r="B890" s="1407"/>
      <c r="C890" s="668"/>
      <c r="D890" s="666"/>
      <c r="E890" s="667"/>
      <c r="F890" s="667"/>
      <c r="G890" s="668"/>
      <c r="H890" s="1408"/>
      <c r="I890" s="65"/>
      <c r="J890" s="66"/>
      <c r="K890" s="1407"/>
      <c r="L890" s="1409"/>
      <c r="M890" s="668"/>
    </row>
    <row r="891" spans="1:13" s="67" customFormat="1">
      <c r="A891" s="1406"/>
      <c r="B891" s="1407"/>
      <c r="C891" s="668"/>
      <c r="D891" s="666"/>
      <c r="E891" s="667"/>
      <c r="F891" s="667"/>
      <c r="G891" s="668"/>
      <c r="H891" s="1408"/>
      <c r="I891" s="65"/>
      <c r="J891" s="66"/>
      <c r="K891" s="1407"/>
      <c r="L891" s="1409"/>
      <c r="M891" s="668"/>
    </row>
    <row r="892" spans="1:13" s="67" customFormat="1">
      <c r="A892" s="1406"/>
      <c r="B892" s="1407"/>
      <c r="C892" s="668"/>
      <c r="D892" s="666"/>
      <c r="E892" s="667"/>
      <c r="F892" s="667"/>
      <c r="G892" s="668"/>
      <c r="H892" s="1408"/>
      <c r="I892" s="65"/>
      <c r="J892" s="66"/>
      <c r="K892" s="1407"/>
      <c r="L892" s="1409"/>
      <c r="M892" s="668"/>
    </row>
    <row r="893" spans="1:13" s="67" customFormat="1">
      <c r="A893" s="1406"/>
      <c r="B893" s="1407"/>
      <c r="C893" s="668"/>
      <c r="D893" s="666"/>
      <c r="E893" s="667"/>
      <c r="F893" s="667"/>
      <c r="G893" s="668"/>
      <c r="H893" s="1408"/>
      <c r="I893" s="65"/>
      <c r="J893" s="66"/>
      <c r="K893" s="1407"/>
      <c r="L893" s="1409"/>
      <c r="M893" s="668"/>
    </row>
    <row r="894" spans="1:13" s="67" customFormat="1">
      <c r="A894" s="1406"/>
      <c r="B894" s="1407"/>
      <c r="C894" s="668"/>
      <c r="D894" s="666"/>
      <c r="E894" s="667"/>
      <c r="F894" s="667"/>
      <c r="G894" s="668"/>
      <c r="H894" s="1408"/>
      <c r="I894" s="65"/>
      <c r="J894" s="66"/>
      <c r="K894" s="1407"/>
      <c r="L894" s="1409"/>
      <c r="M894" s="668"/>
    </row>
    <row r="895" spans="1:13" s="67" customFormat="1">
      <c r="A895" s="1406"/>
      <c r="B895" s="1407"/>
      <c r="C895" s="668"/>
      <c r="D895" s="666"/>
      <c r="E895" s="667"/>
      <c r="F895" s="667"/>
      <c r="G895" s="668"/>
      <c r="H895" s="1408"/>
      <c r="I895" s="65"/>
      <c r="J895" s="66"/>
      <c r="K895" s="1407"/>
      <c r="L895" s="1409"/>
      <c r="M895" s="668"/>
    </row>
    <row r="896" spans="1:13" s="67" customFormat="1">
      <c r="A896" s="1406"/>
      <c r="B896" s="1407"/>
      <c r="C896" s="668"/>
      <c r="D896" s="666"/>
      <c r="E896" s="667"/>
      <c r="F896" s="667"/>
      <c r="G896" s="668"/>
      <c r="H896" s="1408"/>
      <c r="I896" s="65"/>
      <c r="J896" s="66"/>
      <c r="K896" s="1407"/>
      <c r="L896" s="1409"/>
      <c r="M896" s="668"/>
    </row>
    <row r="897" spans="1:13" s="67" customFormat="1">
      <c r="A897" s="1406"/>
      <c r="B897" s="1407"/>
      <c r="C897" s="668"/>
      <c r="D897" s="666"/>
      <c r="E897" s="667"/>
      <c r="F897" s="667"/>
      <c r="G897" s="668"/>
      <c r="H897" s="1408"/>
      <c r="I897" s="65"/>
      <c r="J897" s="66"/>
      <c r="K897" s="1407"/>
      <c r="L897" s="1409"/>
      <c r="M897" s="668"/>
    </row>
    <row r="898" spans="1:13" s="67" customFormat="1">
      <c r="A898" s="1406"/>
      <c r="B898" s="1407"/>
      <c r="C898" s="668"/>
      <c r="D898" s="666"/>
      <c r="E898" s="667"/>
      <c r="F898" s="667"/>
      <c r="G898" s="668"/>
      <c r="H898" s="1408"/>
      <c r="I898" s="65"/>
      <c r="J898" s="66"/>
      <c r="K898" s="1407"/>
      <c r="L898" s="1409"/>
      <c r="M898" s="668"/>
    </row>
    <row r="899" spans="1:13" s="67" customFormat="1">
      <c r="A899" s="1406"/>
      <c r="B899" s="1407"/>
      <c r="C899" s="668"/>
      <c r="D899" s="666"/>
      <c r="E899" s="667"/>
      <c r="F899" s="667"/>
      <c r="G899" s="668"/>
      <c r="H899" s="1408"/>
      <c r="I899" s="65"/>
      <c r="J899" s="66"/>
      <c r="K899" s="1407"/>
      <c r="L899" s="1409"/>
      <c r="M899" s="668"/>
    </row>
    <row r="900" spans="1:13" s="67" customFormat="1">
      <c r="A900" s="1406"/>
      <c r="B900" s="1407"/>
      <c r="C900" s="668"/>
      <c r="D900" s="666"/>
      <c r="E900" s="667"/>
      <c r="F900" s="667"/>
      <c r="G900" s="668"/>
      <c r="H900" s="1408"/>
      <c r="I900" s="65"/>
      <c r="J900" s="66"/>
      <c r="K900" s="1407"/>
      <c r="L900" s="1409"/>
      <c r="M900" s="668"/>
    </row>
    <row r="901" spans="1:13" s="67" customFormat="1">
      <c r="A901" s="1406"/>
      <c r="B901" s="1407"/>
      <c r="C901" s="668"/>
      <c r="D901" s="666"/>
      <c r="E901" s="667"/>
      <c r="F901" s="667"/>
      <c r="G901" s="668"/>
      <c r="H901" s="1408"/>
      <c r="I901" s="65"/>
      <c r="J901" s="66"/>
      <c r="K901" s="1407"/>
      <c r="L901" s="1409"/>
      <c r="M901" s="668"/>
    </row>
    <row r="902" spans="1:13" s="67" customFormat="1">
      <c r="A902" s="1406"/>
      <c r="B902" s="1407"/>
      <c r="C902" s="668"/>
      <c r="D902" s="666"/>
      <c r="E902" s="667"/>
      <c r="F902" s="667"/>
      <c r="G902" s="668"/>
      <c r="H902" s="1408"/>
      <c r="I902" s="65"/>
      <c r="J902" s="66"/>
      <c r="K902" s="1407"/>
      <c r="L902" s="1409"/>
      <c r="M902" s="668"/>
    </row>
    <row r="903" spans="1:13" s="67" customFormat="1">
      <c r="A903" s="1406"/>
      <c r="B903" s="1407"/>
      <c r="C903" s="668"/>
      <c r="D903" s="666"/>
      <c r="E903" s="667"/>
      <c r="F903" s="667"/>
      <c r="G903" s="668"/>
      <c r="H903" s="1408"/>
      <c r="I903" s="65"/>
      <c r="J903" s="66"/>
      <c r="K903" s="1407"/>
      <c r="L903" s="1409"/>
      <c r="M903" s="668"/>
    </row>
    <row r="904" spans="1:13" s="67" customFormat="1">
      <c r="A904" s="1406"/>
      <c r="B904" s="1407"/>
      <c r="C904" s="668"/>
      <c r="D904" s="666"/>
      <c r="E904" s="667"/>
      <c r="F904" s="667"/>
      <c r="G904" s="668"/>
      <c r="H904" s="1408"/>
      <c r="I904" s="65"/>
      <c r="J904" s="66"/>
      <c r="K904" s="1407"/>
      <c r="L904" s="1409"/>
      <c r="M904" s="668"/>
    </row>
    <row r="905" spans="1:13" s="67" customFormat="1">
      <c r="A905" s="1406"/>
      <c r="B905" s="1407"/>
      <c r="C905" s="668"/>
      <c r="D905" s="666"/>
      <c r="E905" s="667"/>
      <c r="F905" s="667"/>
      <c r="G905" s="668"/>
      <c r="H905" s="1408"/>
      <c r="I905" s="65"/>
      <c r="J905" s="66"/>
      <c r="K905" s="1407"/>
      <c r="L905" s="1409"/>
      <c r="M905" s="668"/>
    </row>
    <row r="906" spans="1:13" s="67" customFormat="1">
      <c r="A906" s="1406"/>
      <c r="B906" s="1407"/>
      <c r="C906" s="668"/>
      <c r="D906" s="666"/>
      <c r="E906" s="667"/>
      <c r="F906" s="667"/>
      <c r="G906" s="668"/>
      <c r="H906" s="1408"/>
      <c r="I906" s="65"/>
      <c r="J906" s="66"/>
      <c r="K906" s="1407"/>
      <c r="L906" s="1409"/>
      <c r="M906" s="668"/>
    </row>
    <row r="907" spans="1:13" s="67" customFormat="1">
      <c r="A907" s="1406"/>
      <c r="B907" s="1407"/>
      <c r="C907" s="668"/>
      <c r="D907" s="666"/>
      <c r="E907" s="667"/>
      <c r="F907" s="667"/>
      <c r="G907" s="668"/>
      <c r="H907" s="1408"/>
      <c r="I907" s="65"/>
      <c r="J907" s="66"/>
      <c r="K907" s="1407"/>
      <c r="L907" s="1409"/>
      <c r="M907" s="668"/>
    </row>
    <row r="908" spans="1:13" s="67" customFormat="1">
      <c r="A908" s="1406"/>
      <c r="B908" s="1407"/>
      <c r="C908" s="668"/>
      <c r="D908" s="666"/>
      <c r="E908" s="667"/>
      <c r="F908" s="667"/>
      <c r="G908" s="668"/>
      <c r="H908" s="1408"/>
      <c r="I908" s="65"/>
      <c r="J908" s="66"/>
      <c r="K908" s="1407"/>
      <c r="L908" s="1409"/>
      <c r="M908" s="668"/>
    </row>
    <row r="909" spans="1:13" s="67" customFormat="1">
      <c r="A909" s="1406"/>
      <c r="B909" s="1407"/>
      <c r="C909" s="668"/>
      <c r="D909" s="666"/>
      <c r="E909" s="667"/>
      <c r="F909" s="667"/>
      <c r="G909" s="668"/>
      <c r="H909" s="1408"/>
      <c r="I909" s="65"/>
      <c r="J909" s="66"/>
      <c r="K909" s="1407"/>
      <c r="L909" s="1409"/>
      <c r="M909" s="668"/>
    </row>
    <row r="910" spans="1:13" s="67" customFormat="1">
      <c r="A910" s="1406"/>
      <c r="B910" s="1407"/>
      <c r="C910" s="668"/>
      <c r="D910" s="666"/>
      <c r="E910" s="667"/>
      <c r="F910" s="667"/>
      <c r="G910" s="668"/>
      <c r="H910" s="1408"/>
      <c r="I910" s="65"/>
      <c r="J910" s="66"/>
      <c r="K910" s="1407"/>
      <c r="L910" s="1409"/>
      <c r="M910" s="668"/>
    </row>
    <row r="911" spans="1:13" s="67" customFormat="1">
      <c r="A911" s="1406"/>
      <c r="B911" s="1407"/>
      <c r="C911" s="668"/>
      <c r="D911" s="666"/>
      <c r="E911" s="667"/>
      <c r="F911" s="667"/>
      <c r="G911" s="668"/>
      <c r="H911" s="1408"/>
      <c r="I911" s="65"/>
      <c r="J911" s="66"/>
      <c r="K911" s="1407"/>
      <c r="L911" s="1409"/>
      <c r="M911" s="668"/>
    </row>
    <row r="912" spans="1:13" s="67" customFormat="1">
      <c r="A912" s="1406"/>
      <c r="B912" s="1407"/>
      <c r="C912" s="668"/>
      <c r="D912" s="666"/>
      <c r="E912" s="667"/>
      <c r="F912" s="667"/>
      <c r="G912" s="668"/>
      <c r="H912" s="1408"/>
      <c r="I912" s="65"/>
      <c r="J912" s="66"/>
      <c r="K912" s="1407"/>
      <c r="L912" s="1409"/>
      <c r="M912" s="668"/>
    </row>
    <row r="913" spans="1:13" s="67" customFormat="1">
      <c r="A913" s="1406"/>
      <c r="B913" s="1407"/>
      <c r="C913" s="668"/>
      <c r="D913" s="666"/>
      <c r="E913" s="667"/>
      <c r="F913" s="667"/>
      <c r="G913" s="668"/>
      <c r="H913" s="1408"/>
      <c r="I913" s="65"/>
      <c r="J913" s="66"/>
      <c r="K913" s="1407"/>
      <c r="L913" s="1409"/>
      <c r="M913" s="668"/>
    </row>
    <row r="914" spans="1:13" s="67" customFormat="1">
      <c r="A914" s="1406"/>
      <c r="B914" s="1407"/>
      <c r="C914" s="668"/>
      <c r="D914" s="666"/>
      <c r="E914" s="667"/>
      <c r="F914" s="667"/>
      <c r="G914" s="668"/>
      <c r="H914" s="1408"/>
      <c r="I914" s="65"/>
      <c r="J914" s="66"/>
      <c r="K914" s="1407"/>
      <c r="L914" s="1409"/>
      <c r="M914" s="668"/>
    </row>
    <row r="915" spans="1:13" s="67" customFormat="1">
      <c r="A915" s="1406"/>
      <c r="B915" s="1407"/>
      <c r="C915" s="668"/>
      <c r="D915" s="666"/>
      <c r="E915" s="667"/>
      <c r="F915" s="667"/>
      <c r="G915" s="668"/>
      <c r="H915" s="1408"/>
      <c r="I915" s="65"/>
      <c r="J915" s="66"/>
      <c r="K915" s="1407"/>
      <c r="L915" s="1409"/>
      <c r="M915" s="668"/>
    </row>
    <row r="916" spans="1:13" s="67" customFormat="1">
      <c r="A916" s="1406"/>
      <c r="B916" s="1407"/>
      <c r="C916" s="668"/>
      <c r="D916" s="666"/>
      <c r="E916" s="667"/>
      <c r="F916" s="667"/>
      <c r="G916" s="668"/>
      <c r="H916" s="1408"/>
      <c r="I916" s="65"/>
      <c r="J916" s="66"/>
      <c r="K916" s="1407"/>
      <c r="L916" s="1409"/>
      <c r="M916" s="668"/>
    </row>
    <row r="917" spans="1:13" s="67" customFormat="1">
      <c r="A917" s="1406"/>
      <c r="B917" s="1407"/>
      <c r="C917" s="668"/>
      <c r="D917" s="666"/>
      <c r="E917" s="667"/>
      <c r="F917" s="667"/>
      <c r="G917" s="668"/>
      <c r="H917" s="1408"/>
      <c r="I917" s="65"/>
      <c r="J917" s="66"/>
      <c r="K917" s="1407"/>
      <c r="L917" s="1409"/>
      <c r="M917" s="668"/>
    </row>
    <row r="918" spans="1:13" s="67" customFormat="1">
      <c r="A918" s="1406"/>
      <c r="B918" s="1407"/>
      <c r="C918" s="668"/>
      <c r="D918" s="666"/>
      <c r="E918" s="667"/>
      <c r="F918" s="667"/>
      <c r="G918" s="668"/>
      <c r="H918" s="1408"/>
      <c r="I918" s="65"/>
      <c r="J918" s="66"/>
      <c r="K918" s="1407"/>
      <c r="L918" s="1409"/>
      <c r="M918" s="668"/>
    </row>
    <row r="919" spans="1:13" s="67" customFormat="1">
      <c r="A919" s="1406"/>
      <c r="B919" s="1407"/>
      <c r="C919" s="668"/>
      <c r="D919" s="666"/>
      <c r="E919" s="667"/>
      <c r="F919" s="667"/>
      <c r="G919" s="668"/>
      <c r="H919" s="1408"/>
      <c r="I919" s="65"/>
      <c r="J919" s="66"/>
      <c r="K919" s="1407"/>
      <c r="L919" s="1409"/>
      <c r="M919" s="668"/>
    </row>
    <row r="920" spans="1:13" s="67" customFormat="1">
      <c r="A920" s="1406"/>
      <c r="B920" s="1407"/>
      <c r="C920" s="668"/>
      <c r="D920" s="666"/>
      <c r="E920" s="667"/>
      <c r="F920" s="667"/>
      <c r="G920" s="668"/>
      <c r="H920" s="1408"/>
      <c r="I920" s="65"/>
      <c r="J920" s="66"/>
      <c r="K920" s="1407"/>
      <c r="L920" s="1409"/>
      <c r="M920" s="668"/>
    </row>
    <row r="921" spans="1:13" s="67" customFormat="1">
      <c r="A921" s="1406"/>
      <c r="B921" s="1407"/>
      <c r="C921" s="668"/>
      <c r="D921" s="666"/>
      <c r="E921" s="667"/>
      <c r="F921" s="667"/>
      <c r="G921" s="668"/>
      <c r="H921" s="1408"/>
      <c r="I921" s="65"/>
      <c r="J921" s="66"/>
      <c r="K921" s="1407"/>
      <c r="L921" s="1409"/>
      <c r="M921" s="668"/>
    </row>
    <row r="922" spans="1:13" s="67" customFormat="1">
      <c r="A922" s="1406"/>
      <c r="B922" s="1407"/>
      <c r="C922" s="668"/>
      <c r="D922" s="666"/>
      <c r="E922" s="667"/>
      <c r="F922" s="667"/>
      <c r="G922" s="668"/>
      <c r="H922" s="1408"/>
      <c r="I922" s="65"/>
      <c r="J922" s="66"/>
      <c r="K922" s="1407"/>
      <c r="L922" s="1409"/>
      <c r="M922" s="668"/>
    </row>
    <row r="923" spans="1:13" s="67" customFormat="1">
      <c r="A923" s="1406"/>
      <c r="B923" s="1407"/>
      <c r="C923" s="668"/>
      <c r="D923" s="666"/>
      <c r="E923" s="667"/>
      <c r="F923" s="667"/>
      <c r="G923" s="668"/>
      <c r="H923" s="1408"/>
      <c r="I923" s="65"/>
      <c r="J923" s="66"/>
      <c r="K923" s="1407"/>
      <c r="L923" s="1409"/>
      <c r="M923" s="668"/>
    </row>
    <row r="924" spans="1:13" s="67" customFormat="1">
      <c r="A924" s="1406"/>
      <c r="B924" s="1407"/>
      <c r="C924" s="668"/>
      <c r="D924" s="666"/>
      <c r="E924" s="667"/>
      <c r="F924" s="667"/>
      <c r="G924" s="668"/>
      <c r="H924" s="1408"/>
      <c r="I924" s="65"/>
      <c r="J924" s="66"/>
      <c r="K924" s="1407"/>
      <c r="L924" s="1409"/>
      <c r="M924" s="668"/>
    </row>
    <row r="925" spans="1:13" s="67" customFormat="1">
      <c r="A925" s="1406"/>
      <c r="B925" s="1407"/>
      <c r="C925" s="668"/>
      <c r="D925" s="666"/>
      <c r="E925" s="667"/>
      <c r="F925" s="667"/>
      <c r="G925" s="668"/>
      <c r="H925" s="1408"/>
      <c r="I925" s="65"/>
      <c r="J925" s="66"/>
      <c r="K925" s="1407"/>
      <c r="L925" s="1409"/>
      <c r="M925" s="668"/>
    </row>
    <row r="926" spans="1:13" s="67" customFormat="1">
      <c r="A926" s="1406"/>
      <c r="B926" s="1407"/>
      <c r="C926" s="668"/>
      <c r="D926" s="666"/>
      <c r="E926" s="667"/>
      <c r="F926" s="667"/>
      <c r="G926" s="668"/>
      <c r="H926" s="1408"/>
      <c r="I926" s="65"/>
      <c r="J926" s="66"/>
      <c r="K926" s="1407"/>
      <c r="L926" s="1409"/>
      <c r="M926" s="668"/>
    </row>
    <row r="927" spans="1:13" s="67" customFormat="1">
      <c r="A927" s="1406"/>
      <c r="B927" s="1407"/>
      <c r="C927" s="668"/>
      <c r="D927" s="666"/>
      <c r="E927" s="667"/>
      <c r="F927" s="667"/>
      <c r="G927" s="668"/>
      <c r="H927" s="1408"/>
      <c r="I927" s="65"/>
      <c r="J927" s="66"/>
      <c r="K927" s="1407"/>
      <c r="L927" s="1409"/>
      <c r="M927" s="668"/>
    </row>
    <row r="928" spans="1:13" s="67" customFormat="1">
      <c r="A928" s="1406"/>
      <c r="B928" s="1407"/>
      <c r="C928" s="668"/>
      <c r="D928" s="666"/>
      <c r="E928" s="667"/>
      <c r="F928" s="667"/>
      <c r="G928" s="668"/>
      <c r="H928" s="1408"/>
      <c r="I928" s="65"/>
      <c r="J928" s="66"/>
      <c r="K928" s="1407"/>
      <c r="L928" s="1409"/>
      <c r="M928" s="668"/>
    </row>
    <row r="929" spans="1:13" s="67" customFormat="1">
      <c r="A929" s="1406"/>
      <c r="B929" s="1407"/>
      <c r="C929" s="668"/>
      <c r="D929" s="666"/>
      <c r="E929" s="667"/>
      <c r="F929" s="667"/>
      <c r="G929" s="668"/>
      <c r="H929" s="1408"/>
      <c r="I929" s="65"/>
      <c r="J929" s="66"/>
      <c r="K929" s="1407"/>
      <c r="L929" s="1409"/>
      <c r="M929" s="668"/>
    </row>
    <row r="930" spans="1:13" s="67" customFormat="1">
      <c r="A930" s="1406"/>
      <c r="B930" s="1407"/>
      <c r="C930" s="668"/>
      <c r="D930" s="666"/>
      <c r="E930" s="667"/>
      <c r="F930" s="667"/>
      <c r="G930" s="668"/>
      <c r="H930" s="1408"/>
      <c r="I930" s="65"/>
      <c r="J930" s="66"/>
      <c r="K930" s="1407"/>
      <c r="L930" s="1409"/>
      <c r="M930" s="668"/>
    </row>
    <row r="931" spans="1:13" s="67" customFormat="1">
      <c r="A931" s="1406"/>
      <c r="B931" s="1407"/>
      <c r="C931" s="668"/>
      <c r="D931" s="666"/>
      <c r="E931" s="667"/>
      <c r="F931" s="667"/>
      <c r="G931" s="668"/>
      <c r="H931" s="1408"/>
      <c r="I931" s="65"/>
      <c r="J931" s="66"/>
      <c r="K931" s="1407"/>
      <c r="L931" s="1409"/>
      <c r="M931" s="668"/>
    </row>
    <row r="932" spans="1:13" s="67" customFormat="1">
      <c r="A932" s="1406"/>
      <c r="B932" s="1407"/>
      <c r="C932" s="668"/>
      <c r="D932" s="666"/>
      <c r="E932" s="667"/>
      <c r="F932" s="667"/>
      <c r="G932" s="668"/>
      <c r="H932" s="1408"/>
      <c r="I932" s="65"/>
      <c r="J932" s="66"/>
      <c r="K932" s="1407"/>
      <c r="L932" s="1409"/>
      <c r="M932" s="668"/>
    </row>
    <row r="933" spans="1:13" s="67" customFormat="1">
      <c r="A933" s="1406"/>
      <c r="B933" s="1407"/>
      <c r="C933" s="668"/>
      <c r="D933" s="666"/>
      <c r="E933" s="667"/>
      <c r="F933" s="667"/>
      <c r="G933" s="668"/>
      <c r="H933" s="1408"/>
      <c r="I933" s="65"/>
      <c r="J933" s="66"/>
      <c r="K933" s="1407"/>
      <c r="L933" s="1409"/>
      <c r="M933" s="668"/>
    </row>
    <row r="934" spans="1:13" s="67" customFormat="1">
      <c r="A934" s="1406"/>
      <c r="B934" s="1407"/>
      <c r="C934" s="668"/>
      <c r="D934" s="666"/>
      <c r="E934" s="667"/>
      <c r="F934" s="667"/>
      <c r="G934" s="668"/>
      <c r="H934" s="1408"/>
      <c r="I934" s="65"/>
      <c r="J934" s="66"/>
      <c r="K934" s="1407"/>
      <c r="L934" s="1409"/>
      <c r="M934" s="668"/>
    </row>
    <row r="935" spans="1:13" s="67" customFormat="1">
      <c r="A935" s="1406"/>
      <c r="B935" s="1407"/>
      <c r="C935" s="668"/>
      <c r="D935" s="666"/>
      <c r="E935" s="667"/>
      <c r="F935" s="667"/>
      <c r="G935" s="668"/>
      <c r="H935" s="1408"/>
      <c r="I935" s="65"/>
      <c r="J935" s="66"/>
      <c r="K935" s="1407"/>
      <c r="L935" s="1409"/>
      <c r="M935" s="668"/>
    </row>
    <row r="936" spans="1:13" s="67" customFormat="1">
      <c r="A936" s="1406"/>
      <c r="B936" s="1407"/>
      <c r="C936" s="668"/>
      <c r="D936" s="666"/>
      <c r="E936" s="667"/>
      <c r="F936" s="667"/>
      <c r="G936" s="668"/>
      <c r="H936" s="1408"/>
      <c r="I936" s="65"/>
      <c r="J936" s="66"/>
      <c r="K936" s="1407"/>
      <c r="L936" s="1409"/>
      <c r="M936" s="668"/>
    </row>
    <row r="937" spans="1:13" s="67" customFormat="1">
      <c r="A937" s="1406"/>
      <c r="B937" s="1407"/>
      <c r="C937" s="668"/>
      <c r="D937" s="666"/>
      <c r="E937" s="667"/>
      <c r="F937" s="667"/>
      <c r="G937" s="668"/>
      <c r="H937" s="1408"/>
      <c r="I937" s="65"/>
      <c r="J937" s="66"/>
      <c r="K937" s="1407"/>
      <c r="L937" s="1409"/>
      <c r="M937" s="668"/>
    </row>
    <row r="938" spans="1:13" s="67" customFormat="1">
      <c r="A938" s="1406"/>
      <c r="B938" s="1407"/>
      <c r="C938" s="668"/>
      <c r="D938" s="666"/>
      <c r="E938" s="667"/>
      <c r="F938" s="667"/>
      <c r="G938" s="668"/>
      <c r="H938" s="1408"/>
      <c r="I938" s="65"/>
      <c r="J938" s="66"/>
      <c r="K938" s="1407"/>
      <c r="L938" s="1409"/>
      <c r="M938" s="668"/>
    </row>
    <row r="939" spans="1:13" s="67" customFormat="1">
      <c r="A939" s="1406"/>
      <c r="B939" s="1407"/>
      <c r="C939" s="668"/>
      <c r="D939" s="666"/>
      <c r="E939" s="667"/>
      <c r="F939" s="667"/>
      <c r="G939" s="668"/>
      <c r="H939" s="1408"/>
      <c r="I939" s="65"/>
      <c r="J939" s="66"/>
      <c r="K939" s="1407"/>
      <c r="L939" s="1409"/>
      <c r="M939" s="668"/>
    </row>
    <row r="940" spans="1:13" s="67" customFormat="1">
      <c r="A940" s="1406"/>
      <c r="B940" s="1407"/>
      <c r="C940" s="668"/>
      <c r="D940" s="666"/>
      <c r="E940" s="667"/>
      <c r="F940" s="667"/>
      <c r="G940" s="668"/>
      <c r="H940" s="1408"/>
      <c r="I940" s="65"/>
      <c r="J940" s="66"/>
      <c r="K940" s="1407"/>
      <c r="L940" s="1409"/>
      <c r="M940" s="668"/>
    </row>
    <row r="941" spans="1:13" s="67" customFormat="1">
      <c r="A941" s="1406"/>
      <c r="B941" s="1407"/>
      <c r="C941" s="668"/>
      <c r="D941" s="666"/>
      <c r="E941" s="667"/>
      <c r="F941" s="667"/>
      <c r="G941" s="668"/>
      <c r="H941" s="1408"/>
      <c r="I941" s="65"/>
      <c r="J941" s="66"/>
      <c r="K941" s="1407"/>
      <c r="L941" s="1409"/>
      <c r="M941" s="668"/>
    </row>
    <row r="942" spans="1:13" s="67" customFormat="1">
      <c r="A942" s="1406"/>
      <c r="B942" s="1407"/>
      <c r="C942" s="668"/>
      <c r="D942" s="666"/>
      <c r="E942" s="667"/>
      <c r="F942" s="667"/>
      <c r="G942" s="668"/>
      <c r="H942" s="1408"/>
      <c r="I942" s="65"/>
      <c r="J942" s="66"/>
      <c r="K942" s="1407"/>
      <c r="L942" s="1409"/>
      <c r="M942" s="668"/>
    </row>
    <row r="943" spans="1:13" s="67" customFormat="1">
      <c r="A943" s="1406"/>
      <c r="B943" s="1407"/>
      <c r="C943" s="668"/>
      <c r="D943" s="666"/>
      <c r="E943" s="667"/>
      <c r="F943" s="667"/>
      <c r="G943" s="668"/>
      <c r="H943" s="1408"/>
      <c r="I943" s="65"/>
      <c r="J943" s="66"/>
      <c r="K943" s="1407"/>
      <c r="L943" s="1409"/>
      <c r="M943" s="668"/>
    </row>
    <row r="944" spans="1:13" s="67" customFormat="1">
      <c r="A944" s="1406"/>
      <c r="B944" s="1407"/>
      <c r="C944" s="668"/>
      <c r="D944" s="666"/>
      <c r="E944" s="667"/>
      <c r="F944" s="667"/>
      <c r="G944" s="668"/>
      <c r="H944" s="1408"/>
      <c r="I944" s="65"/>
      <c r="J944" s="66"/>
      <c r="K944" s="1407"/>
      <c r="L944" s="1409"/>
      <c r="M944" s="668"/>
    </row>
    <row r="945" spans="1:13" s="67" customFormat="1">
      <c r="A945" s="1406"/>
      <c r="B945" s="1407"/>
      <c r="C945" s="668"/>
      <c r="D945" s="666"/>
      <c r="E945" s="667"/>
      <c r="F945" s="667"/>
      <c r="G945" s="668"/>
      <c r="H945" s="1408"/>
      <c r="I945" s="65"/>
      <c r="J945" s="66"/>
      <c r="K945" s="1407"/>
      <c r="L945" s="1409"/>
      <c r="M945" s="668"/>
    </row>
    <row r="946" spans="1:13" s="67" customFormat="1">
      <c r="A946" s="1406"/>
      <c r="B946" s="1407"/>
      <c r="C946" s="668"/>
      <c r="D946" s="666"/>
      <c r="E946" s="667"/>
      <c r="F946" s="667"/>
      <c r="G946" s="668"/>
      <c r="H946" s="1408"/>
      <c r="I946" s="65"/>
      <c r="J946" s="66"/>
      <c r="K946" s="1407"/>
      <c r="L946" s="1409"/>
      <c r="M946" s="668"/>
    </row>
    <row r="947" spans="1:13" s="67" customFormat="1">
      <c r="A947" s="1406"/>
      <c r="B947" s="1407"/>
      <c r="C947" s="668"/>
      <c r="D947" s="666"/>
      <c r="E947" s="667"/>
      <c r="F947" s="667"/>
      <c r="G947" s="668"/>
      <c r="H947" s="1408"/>
      <c r="I947" s="65"/>
      <c r="J947" s="66"/>
      <c r="K947" s="1407"/>
      <c r="L947" s="1409"/>
      <c r="M947" s="668"/>
    </row>
    <row r="948" spans="1:13" s="67" customFormat="1">
      <c r="A948" s="1406"/>
      <c r="B948" s="1407"/>
      <c r="C948" s="668"/>
      <c r="D948" s="666"/>
      <c r="E948" s="667"/>
      <c r="F948" s="667"/>
      <c r="G948" s="668"/>
      <c r="H948" s="1408"/>
      <c r="I948" s="65"/>
      <c r="J948" s="66"/>
      <c r="K948" s="1407"/>
      <c r="L948" s="1409"/>
      <c r="M948" s="668"/>
    </row>
    <row r="949" spans="1:13" s="67" customFormat="1">
      <c r="A949" s="1406"/>
      <c r="B949" s="1407"/>
      <c r="C949" s="668"/>
      <c r="D949" s="666"/>
      <c r="E949" s="667"/>
      <c r="F949" s="667"/>
      <c r="G949" s="668"/>
      <c r="H949" s="1408"/>
      <c r="I949" s="65"/>
      <c r="J949" s="66"/>
      <c r="K949" s="1407"/>
      <c r="L949" s="1409"/>
      <c r="M949" s="668"/>
    </row>
    <row r="950" spans="1:13" s="67" customFormat="1">
      <c r="A950" s="1406"/>
      <c r="B950" s="1407"/>
      <c r="C950" s="668"/>
      <c r="D950" s="666"/>
      <c r="E950" s="667"/>
      <c r="F950" s="667"/>
      <c r="G950" s="668"/>
      <c r="H950" s="1408"/>
      <c r="I950" s="65"/>
      <c r="J950" s="66"/>
      <c r="K950" s="1407"/>
      <c r="L950" s="1409"/>
      <c r="M950" s="668"/>
    </row>
    <row r="951" spans="1:13" s="67" customFormat="1">
      <c r="A951" s="1406"/>
      <c r="B951" s="1407"/>
      <c r="C951" s="668"/>
      <c r="D951" s="666"/>
      <c r="E951" s="667"/>
      <c r="F951" s="667"/>
      <c r="G951" s="668"/>
      <c r="H951" s="1408"/>
      <c r="I951" s="65"/>
      <c r="J951" s="66"/>
      <c r="K951" s="1407"/>
      <c r="L951" s="1409"/>
      <c r="M951" s="668"/>
    </row>
    <row r="952" spans="1:13" s="67" customFormat="1">
      <c r="A952" s="1406"/>
      <c r="B952" s="1407"/>
      <c r="C952" s="668"/>
      <c r="D952" s="666"/>
      <c r="E952" s="667"/>
      <c r="F952" s="667"/>
      <c r="G952" s="668"/>
      <c r="H952" s="1408"/>
      <c r="I952" s="65"/>
      <c r="J952" s="66"/>
      <c r="K952" s="1407"/>
      <c r="L952" s="1409"/>
      <c r="M952" s="668"/>
    </row>
    <row r="953" spans="1:13" s="67" customFormat="1">
      <c r="A953" s="1406"/>
      <c r="B953" s="1407"/>
      <c r="C953" s="668"/>
      <c r="D953" s="666"/>
      <c r="E953" s="667"/>
      <c r="F953" s="667"/>
      <c r="G953" s="668"/>
      <c r="H953" s="1408"/>
      <c r="I953" s="65"/>
      <c r="J953" s="66"/>
      <c r="K953" s="1407"/>
      <c r="L953" s="1409"/>
      <c r="M953" s="668"/>
    </row>
    <row r="954" spans="1:13" s="67" customFormat="1">
      <c r="A954" s="1406"/>
      <c r="B954" s="1407"/>
      <c r="C954" s="668"/>
      <c r="D954" s="666"/>
      <c r="E954" s="667"/>
      <c r="F954" s="667"/>
      <c r="G954" s="668"/>
      <c r="H954" s="1408"/>
      <c r="I954" s="65"/>
      <c r="J954" s="66"/>
      <c r="K954" s="1407"/>
      <c r="L954" s="1409"/>
      <c r="M954" s="668"/>
    </row>
    <row r="955" spans="1:13" s="67" customFormat="1">
      <c r="A955" s="1406"/>
      <c r="B955" s="1407"/>
      <c r="C955" s="668"/>
      <c r="D955" s="666"/>
      <c r="E955" s="667"/>
      <c r="F955" s="667"/>
      <c r="G955" s="668"/>
      <c r="H955" s="1408"/>
      <c r="I955" s="65"/>
      <c r="J955" s="66"/>
      <c r="K955" s="1407"/>
      <c r="L955" s="1409"/>
      <c r="M955" s="668"/>
    </row>
    <row r="956" spans="1:13" s="67" customFormat="1">
      <c r="A956" s="1406"/>
      <c r="B956" s="1407"/>
      <c r="C956" s="668"/>
      <c r="D956" s="666"/>
      <c r="E956" s="667"/>
      <c r="F956" s="667"/>
      <c r="G956" s="668"/>
      <c r="H956" s="1408"/>
      <c r="I956" s="65"/>
      <c r="J956" s="66"/>
      <c r="K956" s="1407"/>
      <c r="L956" s="1409"/>
      <c r="M956" s="668"/>
    </row>
    <row r="957" spans="1:13" s="67" customFormat="1">
      <c r="A957" s="1406"/>
      <c r="B957" s="1407"/>
      <c r="C957" s="668"/>
      <c r="D957" s="666"/>
      <c r="E957" s="667"/>
      <c r="F957" s="667"/>
      <c r="G957" s="668"/>
      <c r="H957" s="1408"/>
      <c r="I957" s="65"/>
      <c r="J957" s="66"/>
      <c r="K957" s="1407"/>
      <c r="L957" s="1409"/>
      <c r="M957" s="668"/>
    </row>
    <row r="958" spans="1:13" s="67" customFormat="1">
      <c r="A958" s="1406"/>
      <c r="B958" s="1407"/>
      <c r="C958" s="668"/>
      <c r="D958" s="666"/>
      <c r="E958" s="667"/>
      <c r="F958" s="667"/>
      <c r="G958" s="668"/>
      <c r="H958" s="1408"/>
      <c r="I958" s="65"/>
      <c r="J958" s="66"/>
      <c r="K958" s="1407"/>
      <c r="L958" s="1409"/>
      <c r="M958" s="668"/>
    </row>
    <row r="959" spans="1:13" s="67" customFormat="1">
      <c r="A959" s="1406"/>
      <c r="B959" s="1407"/>
      <c r="C959" s="668"/>
      <c r="D959" s="666"/>
      <c r="E959" s="667"/>
      <c r="F959" s="667"/>
      <c r="G959" s="668"/>
      <c r="H959" s="1408"/>
      <c r="I959" s="65"/>
      <c r="J959" s="66"/>
      <c r="K959" s="1407"/>
      <c r="L959" s="1409"/>
      <c r="M959" s="668"/>
    </row>
    <row r="960" spans="1:13" s="67" customFormat="1">
      <c r="A960" s="1406"/>
      <c r="B960" s="1407"/>
      <c r="C960" s="668"/>
      <c r="D960" s="666"/>
      <c r="E960" s="667"/>
      <c r="F960" s="667"/>
      <c r="G960" s="668"/>
      <c r="H960" s="1408"/>
      <c r="I960" s="65"/>
      <c r="J960" s="66"/>
      <c r="K960" s="1407"/>
      <c r="L960" s="1409"/>
      <c r="M960" s="668"/>
    </row>
    <row r="961" spans="1:13" s="67" customFormat="1">
      <c r="A961" s="1406"/>
      <c r="B961" s="1407"/>
      <c r="C961" s="668"/>
      <c r="D961" s="666"/>
      <c r="E961" s="667"/>
      <c r="F961" s="667"/>
      <c r="G961" s="668"/>
      <c r="H961" s="1408"/>
      <c r="I961" s="65"/>
      <c r="J961" s="66"/>
      <c r="K961" s="1407"/>
      <c r="L961" s="1409"/>
      <c r="M961" s="668"/>
    </row>
    <row r="962" spans="1:13" s="67" customFormat="1">
      <c r="A962" s="1406"/>
      <c r="B962" s="1407"/>
      <c r="C962" s="668"/>
      <c r="D962" s="666"/>
      <c r="E962" s="667"/>
      <c r="F962" s="667"/>
      <c r="G962" s="668"/>
      <c r="H962" s="1408"/>
      <c r="I962" s="65"/>
      <c r="J962" s="66"/>
      <c r="K962" s="1407"/>
      <c r="L962" s="1409"/>
      <c r="M962" s="668"/>
    </row>
    <row r="963" spans="1:13" s="67" customFormat="1">
      <c r="A963" s="1406"/>
      <c r="B963" s="1407"/>
      <c r="C963" s="668"/>
      <c r="D963" s="666"/>
      <c r="E963" s="667"/>
      <c r="F963" s="667"/>
      <c r="G963" s="668"/>
      <c r="H963" s="1408"/>
      <c r="I963" s="65"/>
      <c r="J963" s="66"/>
      <c r="K963" s="1407"/>
      <c r="L963" s="1409"/>
      <c r="M963" s="668"/>
    </row>
    <row r="964" spans="1:13" s="67" customFormat="1">
      <c r="A964" s="1406"/>
      <c r="B964" s="1407"/>
      <c r="C964" s="668"/>
      <c r="D964" s="666"/>
      <c r="E964" s="667"/>
      <c r="F964" s="667"/>
      <c r="G964" s="668"/>
      <c r="H964" s="1408"/>
      <c r="I964" s="65"/>
      <c r="J964" s="66"/>
      <c r="K964" s="1407"/>
      <c r="L964" s="1409"/>
      <c r="M964" s="668"/>
    </row>
    <row r="965" spans="1:13" s="67" customFormat="1">
      <c r="A965" s="1406"/>
      <c r="B965" s="1407"/>
      <c r="C965" s="668"/>
      <c r="D965" s="666"/>
      <c r="E965" s="667"/>
      <c r="F965" s="667"/>
      <c r="G965" s="668"/>
      <c r="H965" s="1408"/>
      <c r="I965" s="65"/>
      <c r="J965" s="66"/>
      <c r="K965" s="1407"/>
      <c r="L965" s="1409"/>
      <c r="M965" s="668"/>
    </row>
    <row r="966" spans="1:13" s="67" customFormat="1">
      <c r="A966" s="1406"/>
      <c r="B966" s="1407"/>
      <c r="C966" s="668"/>
      <c r="D966" s="666"/>
      <c r="E966" s="667"/>
      <c r="F966" s="667"/>
      <c r="G966" s="668"/>
      <c r="H966" s="1408"/>
      <c r="I966" s="65"/>
      <c r="J966" s="66"/>
      <c r="K966" s="1407"/>
      <c r="L966" s="1409"/>
      <c r="M966" s="668"/>
    </row>
    <row r="967" spans="1:13" s="67" customFormat="1">
      <c r="A967" s="1406"/>
      <c r="B967" s="1407"/>
      <c r="C967" s="668"/>
      <c r="D967" s="666"/>
      <c r="E967" s="667"/>
      <c r="F967" s="667"/>
      <c r="G967" s="668"/>
      <c r="H967" s="1408"/>
      <c r="I967" s="65"/>
      <c r="J967" s="66"/>
      <c r="K967" s="1407"/>
      <c r="L967" s="1409"/>
      <c r="M967" s="668"/>
    </row>
    <row r="968" spans="1:13" s="67" customFormat="1">
      <c r="A968" s="1406"/>
      <c r="B968" s="1407"/>
      <c r="C968" s="668"/>
      <c r="D968" s="666"/>
      <c r="E968" s="667"/>
      <c r="F968" s="667"/>
      <c r="G968" s="668"/>
      <c r="H968" s="1408"/>
      <c r="I968" s="65"/>
      <c r="J968" s="66"/>
      <c r="K968" s="1407"/>
      <c r="L968" s="1409"/>
      <c r="M968" s="668"/>
    </row>
    <row r="969" spans="1:13" s="67" customFormat="1">
      <c r="A969" s="1406"/>
      <c r="B969" s="1407"/>
      <c r="C969" s="668"/>
      <c r="D969" s="666"/>
      <c r="E969" s="667"/>
      <c r="F969" s="667"/>
      <c r="G969" s="668"/>
      <c r="H969" s="1408"/>
      <c r="I969" s="65"/>
      <c r="J969" s="66"/>
      <c r="K969" s="1407"/>
      <c r="L969" s="1409"/>
      <c r="M969" s="668"/>
    </row>
    <row r="970" spans="1:13" s="67" customFormat="1">
      <c r="A970" s="1406"/>
      <c r="B970" s="1407"/>
      <c r="C970" s="668"/>
      <c r="D970" s="666"/>
      <c r="E970" s="667"/>
      <c r="F970" s="667"/>
      <c r="G970" s="668"/>
      <c r="H970" s="1408"/>
      <c r="I970" s="65"/>
      <c r="J970" s="66"/>
      <c r="K970" s="1407"/>
      <c r="L970" s="1409"/>
      <c r="M970" s="668"/>
    </row>
    <row r="971" spans="1:13" s="67" customFormat="1">
      <c r="A971" s="1406"/>
      <c r="B971" s="1407"/>
      <c r="C971" s="668"/>
      <c r="D971" s="666"/>
      <c r="E971" s="667"/>
      <c r="F971" s="667"/>
      <c r="G971" s="668"/>
      <c r="H971" s="1408"/>
      <c r="I971" s="65"/>
      <c r="J971" s="66"/>
      <c r="K971" s="1407"/>
      <c r="L971" s="1409"/>
      <c r="M971" s="668"/>
    </row>
    <row r="972" spans="1:13" s="67" customFormat="1">
      <c r="A972" s="1406"/>
      <c r="B972" s="1407"/>
      <c r="C972" s="668"/>
      <c r="D972" s="666"/>
      <c r="E972" s="667"/>
      <c r="F972" s="667"/>
      <c r="G972" s="668"/>
      <c r="H972" s="1408"/>
      <c r="I972" s="65"/>
      <c r="J972" s="66"/>
      <c r="K972" s="1407"/>
      <c r="L972" s="1409"/>
      <c r="M972" s="668"/>
    </row>
    <row r="973" spans="1:13" s="67" customFormat="1">
      <c r="A973" s="1406"/>
      <c r="B973" s="1407"/>
      <c r="C973" s="668"/>
      <c r="D973" s="666"/>
      <c r="E973" s="667"/>
      <c r="F973" s="667"/>
      <c r="G973" s="668"/>
      <c r="H973" s="1408"/>
      <c r="I973" s="65"/>
      <c r="J973" s="66"/>
      <c r="K973" s="1407"/>
      <c r="L973" s="1409"/>
      <c r="M973" s="668"/>
    </row>
    <row r="974" spans="1:13" s="67" customFormat="1">
      <c r="A974" s="1406"/>
      <c r="B974" s="1407"/>
      <c r="C974" s="668"/>
      <c r="D974" s="666"/>
      <c r="E974" s="667"/>
      <c r="F974" s="667"/>
      <c r="G974" s="668"/>
      <c r="H974" s="1408"/>
      <c r="I974" s="65"/>
      <c r="J974" s="66"/>
      <c r="K974" s="1407"/>
      <c r="L974" s="1409"/>
      <c r="M974" s="668"/>
    </row>
    <row r="975" spans="1:13" s="67" customFormat="1">
      <c r="A975" s="1406"/>
      <c r="B975" s="1407"/>
      <c r="C975" s="668"/>
      <c r="D975" s="666"/>
      <c r="E975" s="667"/>
      <c r="F975" s="667"/>
      <c r="G975" s="668"/>
      <c r="H975" s="1408"/>
      <c r="I975" s="65"/>
      <c r="J975" s="66"/>
      <c r="K975" s="1407"/>
      <c r="L975" s="1409"/>
      <c r="M975" s="668"/>
    </row>
    <row r="976" spans="1:13" s="67" customFormat="1">
      <c r="A976" s="1406"/>
      <c r="B976" s="1407"/>
      <c r="C976" s="668"/>
      <c r="D976" s="666"/>
      <c r="E976" s="667"/>
      <c r="F976" s="667"/>
      <c r="G976" s="668"/>
      <c r="H976" s="1408"/>
      <c r="I976" s="65"/>
      <c r="J976" s="66"/>
      <c r="K976" s="1407"/>
      <c r="L976" s="1409"/>
      <c r="M976" s="668"/>
    </row>
    <row r="977" spans="1:13" s="67" customFormat="1">
      <c r="A977" s="1406"/>
      <c r="B977" s="1407"/>
      <c r="C977" s="668"/>
      <c r="D977" s="666"/>
      <c r="E977" s="667"/>
      <c r="F977" s="667"/>
      <c r="G977" s="668"/>
      <c r="H977" s="1408"/>
      <c r="I977" s="65"/>
      <c r="J977" s="66"/>
      <c r="K977" s="1407"/>
      <c r="L977" s="1409"/>
      <c r="M977" s="668"/>
    </row>
    <row r="978" spans="1:13" s="67" customFormat="1">
      <c r="A978" s="1406"/>
      <c r="B978" s="1407"/>
      <c r="C978" s="668"/>
      <c r="D978" s="666"/>
      <c r="E978" s="667"/>
      <c r="F978" s="667"/>
      <c r="G978" s="668"/>
      <c r="H978" s="1408"/>
      <c r="I978" s="65"/>
      <c r="J978" s="66"/>
      <c r="K978" s="1407"/>
      <c r="L978" s="1409"/>
      <c r="M978" s="668"/>
    </row>
    <row r="979" spans="1:13" s="67" customFormat="1">
      <c r="A979" s="1406"/>
      <c r="B979" s="1407"/>
      <c r="C979" s="668"/>
      <c r="D979" s="666"/>
      <c r="E979" s="667"/>
      <c r="F979" s="667"/>
      <c r="G979" s="668"/>
      <c r="H979" s="1408"/>
      <c r="I979" s="65"/>
      <c r="J979" s="66"/>
      <c r="K979" s="1407"/>
      <c r="L979" s="1409"/>
      <c r="M979" s="668"/>
    </row>
    <row r="980" spans="1:13" s="67" customFormat="1">
      <c r="A980" s="1406"/>
      <c r="B980" s="1407"/>
      <c r="C980" s="668"/>
      <c r="D980" s="666"/>
      <c r="E980" s="667"/>
      <c r="F980" s="667"/>
      <c r="G980" s="668"/>
      <c r="H980" s="1408"/>
      <c r="I980" s="65"/>
      <c r="J980" s="66"/>
      <c r="K980" s="1407"/>
      <c r="L980" s="1409"/>
      <c r="M980" s="668"/>
    </row>
    <row r="981" spans="1:13" s="67" customFormat="1">
      <c r="A981" s="1406"/>
      <c r="B981" s="1407"/>
      <c r="C981" s="668"/>
      <c r="D981" s="666"/>
      <c r="E981" s="667"/>
      <c r="F981" s="667"/>
      <c r="G981" s="668"/>
      <c r="H981" s="1408"/>
      <c r="I981" s="65"/>
      <c r="J981" s="66"/>
      <c r="K981" s="1407"/>
      <c r="L981" s="1409"/>
      <c r="M981" s="668"/>
    </row>
    <row r="982" spans="1:13" s="67" customFormat="1">
      <c r="A982" s="1406"/>
      <c r="B982" s="1407"/>
      <c r="C982" s="668"/>
      <c r="D982" s="666"/>
      <c r="E982" s="667"/>
      <c r="F982" s="667"/>
      <c r="G982" s="668"/>
      <c r="H982" s="1408"/>
      <c r="I982" s="65"/>
      <c r="J982" s="66"/>
      <c r="K982" s="1407"/>
      <c r="L982" s="1409"/>
      <c r="M982" s="668"/>
    </row>
    <row r="983" spans="1:13" s="67" customFormat="1">
      <c r="A983" s="1406"/>
      <c r="B983" s="1407"/>
      <c r="C983" s="668"/>
      <c r="D983" s="666"/>
      <c r="E983" s="667"/>
      <c r="F983" s="667"/>
      <c r="G983" s="668"/>
      <c r="H983" s="1408"/>
      <c r="I983" s="65"/>
      <c r="J983" s="66"/>
      <c r="K983" s="1407"/>
      <c r="L983" s="1409"/>
      <c r="M983" s="668"/>
    </row>
    <row r="984" spans="1:13" s="67" customFormat="1">
      <c r="A984" s="1406"/>
      <c r="B984" s="1407"/>
      <c r="C984" s="668"/>
      <c r="D984" s="666"/>
      <c r="E984" s="667"/>
      <c r="F984" s="667"/>
      <c r="G984" s="668"/>
      <c r="H984" s="1408"/>
      <c r="I984" s="65"/>
      <c r="J984" s="66"/>
      <c r="K984" s="1407"/>
      <c r="L984" s="1409"/>
      <c r="M984" s="668"/>
    </row>
    <row r="985" spans="1:13" s="67" customFormat="1">
      <c r="A985" s="1406"/>
      <c r="B985" s="1407"/>
      <c r="C985" s="668"/>
      <c r="D985" s="666"/>
      <c r="E985" s="667"/>
      <c r="F985" s="667"/>
      <c r="G985" s="668"/>
      <c r="H985" s="1408"/>
      <c r="I985" s="65"/>
      <c r="J985" s="66"/>
      <c r="K985" s="1407"/>
      <c r="L985" s="1409"/>
      <c r="M985" s="668"/>
    </row>
    <row r="986" spans="1:13" s="67" customFormat="1">
      <c r="A986" s="1406"/>
      <c r="B986" s="1407"/>
      <c r="C986" s="668"/>
      <c r="D986" s="666"/>
      <c r="E986" s="667"/>
      <c r="F986" s="667"/>
      <c r="G986" s="668"/>
      <c r="H986" s="1408"/>
      <c r="I986" s="65"/>
      <c r="J986" s="66"/>
      <c r="K986" s="1407"/>
      <c r="L986" s="1409"/>
      <c r="M986" s="668"/>
    </row>
    <row r="987" spans="1:13" s="67" customFormat="1">
      <c r="A987" s="1406"/>
      <c r="B987" s="1407"/>
      <c r="C987" s="668"/>
      <c r="D987" s="666"/>
      <c r="E987" s="667"/>
      <c r="F987" s="667"/>
      <c r="G987" s="668"/>
      <c r="H987" s="1408"/>
      <c r="I987" s="65"/>
      <c r="J987" s="66"/>
      <c r="K987" s="1407"/>
      <c r="L987" s="1409"/>
      <c r="M987" s="668"/>
    </row>
    <row r="988" spans="1:13" s="67" customFormat="1">
      <c r="A988" s="1406"/>
      <c r="B988" s="1407"/>
      <c r="C988" s="668"/>
      <c r="D988" s="666"/>
      <c r="E988" s="667"/>
      <c r="F988" s="667"/>
      <c r="G988" s="668"/>
      <c r="H988" s="1408"/>
      <c r="I988" s="65"/>
      <c r="J988" s="66"/>
      <c r="K988" s="1407"/>
      <c r="L988" s="1409"/>
      <c r="M988" s="668"/>
    </row>
    <row r="989" spans="1:13" s="67" customFormat="1">
      <c r="A989" s="1406"/>
      <c r="B989" s="1407"/>
      <c r="C989" s="668"/>
      <c r="D989" s="666"/>
      <c r="E989" s="667"/>
      <c r="F989" s="667"/>
      <c r="G989" s="668"/>
      <c r="H989" s="1408"/>
      <c r="I989" s="65"/>
      <c r="J989" s="66"/>
      <c r="K989" s="1407"/>
      <c r="L989" s="1409"/>
      <c r="M989" s="668"/>
    </row>
    <row r="990" spans="1:13" s="67" customFormat="1">
      <c r="A990" s="1406"/>
      <c r="B990" s="1407"/>
      <c r="C990" s="668"/>
      <c r="D990" s="666"/>
      <c r="E990" s="667"/>
      <c r="F990" s="667"/>
      <c r="G990" s="668"/>
      <c r="H990" s="1408"/>
      <c r="I990" s="65"/>
      <c r="J990" s="66"/>
      <c r="K990" s="1407"/>
      <c r="L990" s="1409"/>
      <c r="M990" s="668"/>
    </row>
    <row r="991" spans="1:13" s="67" customFormat="1">
      <c r="A991" s="1406"/>
      <c r="B991" s="1407"/>
      <c r="C991" s="668"/>
      <c r="D991" s="666"/>
      <c r="E991" s="667"/>
      <c r="F991" s="667"/>
      <c r="G991" s="668"/>
      <c r="H991" s="1408"/>
      <c r="I991" s="65"/>
      <c r="J991" s="66"/>
      <c r="K991" s="1407"/>
      <c r="L991" s="1409"/>
      <c r="M991" s="668"/>
    </row>
    <row r="992" spans="1:13" s="67" customFormat="1">
      <c r="A992" s="1406"/>
      <c r="B992" s="1407"/>
      <c r="C992" s="668"/>
      <c r="D992" s="666"/>
      <c r="E992" s="667"/>
      <c r="F992" s="667"/>
      <c r="G992" s="668"/>
      <c r="H992" s="1408"/>
      <c r="I992" s="65"/>
      <c r="J992" s="66"/>
      <c r="K992" s="1407"/>
      <c r="L992" s="1409"/>
      <c r="M992" s="668"/>
    </row>
    <row r="993" spans="1:13" s="67" customFormat="1">
      <c r="A993" s="1406"/>
      <c r="B993" s="1407"/>
      <c r="C993" s="668"/>
      <c r="D993" s="666"/>
      <c r="E993" s="667"/>
      <c r="F993" s="667"/>
      <c r="G993" s="668"/>
      <c r="H993" s="1408"/>
      <c r="I993" s="65"/>
      <c r="J993" s="66"/>
      <c r="K993" s="1407"/>
      <c r="L993" s="1409"/>
      <c r="M993" s="668"/>
    </row>
    <row r="994" spans="1:13" s="67" customFormat="1">
      <c r="A994" s="1406"/>
      <c r="B994" s="1407"/>
      <c r="C994" s="668"/>
      <c r="D994" s="666"/>
      <c r="E994" s="667"/>
      <c r="F994" s="667"/>
      <c r="G994" s="668"/>
      <c r="H994" s="1408"/>
      <c r="I994" s="65"/>
      <c r="J994" s="66"/>
      <c r="K994" s="1407"/>
      <c r="L994" s="1409"/>
      <c r="M994" s="668"/>
    </row>
    <row r="995" spans="1:13" s="67" customFormat="1">
      <c r="A995" s="1406"/>
      <c r="B995" s="1407"/>
      <c r="C995" s="668"/>
      <c r="D995" s="666"/>
      <c r="E995" s="667"/>
      <c r="F995" s="667"/>
      <c r="G995" s="668"/>
      <c r="H995" s="1408"/>
      <c r="I995" s="65"/>
      <c r="J995" s="66"/>
      <c r="K995" s="1407"/>
      <c r="L995" s="1409"/>
      <c r="M995" s="668"/>
    </row>
    <row r="996" spans="1:13" s="67" customFormat="1">
      <c r="A996" s="1406"/>
      <c r="B996" s="1407"/>
      <c r="C996" s="668"/>
      <c r="D996" s="666"/>
      <c r="E996" s="667"/>
      <c r="F996" s="667"/>
      <c r="G996" s="668"/>
      <c r="H996" s="1408"/>
      <c r="I996" s="65"/>
      <c r="J996" s="66"/>
      <c r="K996" s="1407"/>
      <c r="L996" s="1409"/>
      <c r="M996" s="668"/>
    </row>
    <row r="997" spans="1:13" s="67" customFormat="1">
      <c r="A997" s="1406"/>
      <c r="B997" s="1407"/>
      <c r="C997" s="668"/>
      <c r="D997" s="666"/>
      <c r="E997" s="667"/>
      <c r="F997" s="667"/>
      <c r="G997" s="668"/>
      <c r="H997" s="1408"/>
      <c r="I997" s="65"/>
      <c r="J997" s="66"/>
      <c r="K997" s="1407"/>
      <c r="L997" s="1409"/>
      <c r="M997" s="668"/>
    </row>
    <row r="998" spans="1:13" s="67" customFormat="1">
      <c r="A998" s="1406"/>
      <c r="B998" s="1407"/>
      <c r="C998" s="668"/>
      <c r="D998" s="666"/>
      <c r="E998" s="667"/>
      <c r="F998" s="667"/>
      <c r="G998" s="668"/>
      <c r="H998" s="1408"/>
      <c r="I998" s="65"/>
      <c r="J998" s="66"/>
      <c r="K998" s="1407"/>
      <c r="L998" s="1409"/>
      <c r="M998" s="668"/>
    </row>
    <row r="999" spans="1:13" s="67" customFormat="1">
      <c r="A999" s="1406"/>
      <c r="B999" s="1407"/>
      <c r="C999" s="668"/>
      <c r="D999" s="666"/>
      <c r="E999" s="667"/>
      <c r="F999" s="667"/>
      <c r="G999" s="668"/>
      <c r="H999" s="1408"/>
      <c r="I999" s="65"/>
      <c r="J999" s="66"/>
      <c r="K999" s="1407"/>
      <c r="L999" s="1409"/>
      <c r="M999" s="668"/>
    </row>
    <row r="1000" spans="1:13" s="67" customFormat="1">
      <c r="A1000" s="1406"/>
      <c r="B1000" s="1407"/>
      <c r="C1000" s="668"/>
      <c r="D1000" s="666"/>
      <c r="E1000" s="667"/>
      <c r="F1000" s="667"/>
      <c r="G1000" s="668"/>
      <c r="H1000" s="1408"/>
      <c r="I1000" s="65"/>
      <c r="J1000" s="66"/>
      <c r="K1000" s="1407"/>
      <c r="L1000" s="1409"/>
      <c r="M1000" s="668"/>
    </row>
    <row r="1001" spans="1:13" s="67" customFormat="1">
      <c r="A1001" s="1406"/>
      <c r="B1001" s="1407"/>
      <c r="C1001" s="668"/>
      <c r="D1001" s="666"/>
      <c r="E1001" s="667"/>
      <c r="F1001" s="667"/>
      <c r="G1001" s="668"/>
      <c r="H1001" s="1408"/>
      <c r="I1001" s="65"/>
      <c r="J1001" s="66"/>
      <c r="K1001" s="1407"/>
      <c r="L1001" s="1409"/>
      <c r="M1001" s="668"/>
    </row>
    <row r="1002" spans="1:13" s="67" customFormat="1">
      <c r="A1002" s="1406"/>
      <c r="B1002" s="1407"/>
      <c r="C1002" s="668"/>
      <c r="D1002" s="666"/>
      <c r="E1002" s="667"/>
      <c r="F1002" s="667"/>
      <c r="G1002" s="668"/>
      <c r="H1002" s="1408"/>
      <c r="I1002" s="65"/>
      <c r="J1002" s="66"/>
      <c r="K1002" s="1407"/>
      <c r="L1002" s="1409"/>
      <c r="M1002" s="668"/>
    </row>
    <row r="1003" spans="1:13" s="67" customFormat="1">
      <c r="A1003" s="1406"/>
      <c r="B1003" s="1407"/>
      <c r="C1003" s="668"/>
      <c r="D1003" s="666"/>
      <c r="E1003" s="667"/>
      <c r="F1003" s="667"/>
      <c r="G1003" s="668"/>
      <c r="H1003" s="1408"/>
      <c r="I1003" s="65"/>
      <c r="J1003" s="66"/>
      <c r="K1003" s="1407"/>
      <c r="L1003" s="1409"/>
      <c r="M1003" s="668"/>
    </row>
    <row r="1004" spans="1:13" s="67" customFormat="1">
      <c r="A1004" s="1406"/>
      <c r="B1004" s="1407"/>
      <c r="C1004" s="668"/>
      <c r="D1004" s="666"/>
      <c r="E1004" s="667"/>
      <c r="F1004" s="667"/>
      <c r="G1004" s="668"/>
      <c r="H1004" s="1408"/>
      <c r="I1004" s="65"/>
      <c r="J1004" s="66"/>
      <c r="K1004" s="1407"/>
      <c r="L1004" s="1409"/>
      <c r="M1004" s="668"/>
    </row>
    <row r="1005" spans="1:13" s="67" customFormat="1">
      <c r="A1005" s="1406"/>
      <c r="B1005" s="1407"/>
      <c r="C1005" s="668"/>
      <c r="D1005" s="666"/>
      <c r="E1005" s="667"/>
      <c r="F1005" s="667"/>
      <c r="G1005" s="668"/>
      <c r="H1005" s="1408"/>
      <c r="I1005" s="65"/>
      <c r="J1005" s="66"/>
      <c r="K1005" s="1407"/>
      <c r="L1005" s="1409"/>
      <c r="M1005" s="668"/>
    </row>
    <row r="1006" spans="1:13" s="67" customFormat="1">
      <c r="A1006" s="1406"/>
      <c r="B1006" s="1407"/>
      <c r="C1006" s="668"/>
      <c r="D1006" s="666"/>
      <c r="E1006" s="667"/>
      <c r="F1006" s="667"/>
      <c r="G1006" s="668"/>
      <c r="H1006" s="1408"/>
      <c r="I1006" s="65"/>
      <c r="J1006" s="66"/>
      <c r="K1006" s="1407"/>
      <c r="L1006" s="1409"/>
      <c r="M1006" s="668"/>
    </row>
    <row r="1007" spans="1:13" s="67" customFormat="1">
      <c r="A1007" s="1406"/>
      <c r="B1007" s="1407"/>
      <c r="C1007" s="668"/>
      <c r="D1007" s="666"/>
      <c r="E1007" s="667"/>
      <c r="F1007" s="667"/>
      <c r="G1007" s="668"/>
      <c r="H1007" s="1408"/>
      <c r="I1007" s="65"/>
      <c r="J1007" s="66"/>
      <c r="K1007" s="1407"/>
      <c r="L1007" s="1409"/>
      <c r="M1007" s="668"/>
    </row>
    <row r="1008" spans="1:13" s="67" customFormat="1">
      <c r="A1008" s="1406"/>
      <c r="B1008" s="1407"/>
      <c r="C1008" s="668"/>
      <c r="D1008" s="666"/>
      <c r="E1008" s="667"/>
      <c r="F1008" s="667"/>
      <c r="G1008" s="668"/>
      <c r="H1008" s="1408"/>
      <c r="I1008" s="65"/>
      <c r="J1008" s="66"/>
      <c r="K1008" s="1407"/>
      <c r="L1008" s="1409"/>
      <c r="M1008" s="668"/>
    </row>
    <row r="1009" spans="1:13" s="67" customFormat="1">
      <c r="A1009" s="1406"/>
      <c r="B1009" s="1407"/>
      <c r="C1009" s="668"/>
      <c r="D1009" s="666"/>
      <c r="E1009" s="667"/>
      <c r="F1009" s="667"/>
      <c r="G1009" s="668"/>
      <c r="H1009" s="1408"/>
      <c r="I1009" s="65"/>
      <c r="J1009" s="66"/>
      <c r="K1009" s="1407"/>
      <c r="L1009" s="1409"/>
      <c r="M1009" s="668"/>
    </row>
    <row r="1010" spans="1:13" s="67" customFormat="1">
      <c r="A1010" s="1406"/>
      <c r="B1010" s="1407"/>
      <c r="C1010" s="668"/>
      <c r="D1010" s="666"/>
      <c r="E1010" s="667"/>
      <c r="F1010" s="667"/>
      <c r="G1010" s="668"/>
      <c r="H1010" s="1408"/>
      <c r="I1010" s="65"/>
      <c r="J1010" s="66"/>
      <c r="K1010" s="1407"/>
      <c r="L1010" s="1409"/>
      <c r="M1010" s="668"/>
    </row>
    <row r="1011" spans="1:13" s="67" customFormat="1">
      <c r="A1011" s="1406"/>
      <c r="B1011" s="1407"/>
      <c r="C1011" s="668"/>
      <c r="D1011" s="666"/>
      <c r="E1011" s="667"/>
      <c r="F1011" s="667"/>
      <c r="G1011" s="668"/>
      <c r="H1011" s="1408"/>
      <c r="I1011" s="65"/>
      <c r="J1011" s="66"/>
      <c r="K1011" s="1407"/>
      <c r="L1011" s="1409"/>
      <c r="M1011" s="668"/>
    </row>
    <row r="1012" spans="1:13" s="67" customFormat="1">
      <c r="A1012" s="1406"/>
      <c r="B1012" s="1407"/>
      <c r="C1012" s="668"/>
      <c r="D1012" s="666"/>
      <c r="E1012" s="667"/>
      <c r="F1012" s="667"/>
      <c r="G1012" s="668"/>
      <c r="H1012" s="1408"/>
      <c r="I1012" s="65"/>
      <c r="J1012" s="66"/>
      <c r="K1012" s="1407"/>
      <c r="L1012" s="1409"/>
      <c r="M1012" s="668"/>
    </row>
    <row r="1013" spans="1:13" s="67" customFormat="1">
      <c r="A1013" s="1406"/>
      <c r="B1013" s="1407"/>
      <c r="C1013" s="668"/>
      <c r="D1013" s="666"/>
      <c r="E1013" s="667"/>
      <c r="F1013" s="667"/>
      <c r="G1013" s="668"/>
      <c r="H1013" s="1408"/>
      <c r="I1013" s="65"/>
      <c r="J1013" s="66"/>
      <c r="K1013" s="1407"/>
      <c r="L1013" s="1409"/>
      <c r="M1013" s="668"/>
    </row>
    <row r="1014" spans="1:13" s="67" customFormat="1">
      <c r="A1014" s="1406"/>
      <c r="B1014" s="1407"/>
      <c r="C1014" s="668"/>
      <c r="D1014" s="666"/>
      <c r="E1014" s="667"/>
      <c r="F1014" s="667"/>
      <c r="G1014" s="668"/>
      <c r="H1014" s="1408"/>
      <c r="I1014" s="65"/>
      <c r="J1014" s="66"/>
      <c r="K1014" s="1407"/>
      <c r="L1014" s="1409"/>
      <c r="M1014" s="668"/>
    </row>
    <row r="1015" spans="1:13" s="67" customFormat="1">
      <c r="A1015" s="1406"/>
      <c r="B1015" s="1407"/>
      <c r="C1015" s="668"/>
      <c r="D1015" s="666"/>
      <c r="E1015" s="667"/>
      <c r="F1015" s="667"/>
      <c r="G1015" s="668"/>
      <c r="H1015" s="1408"/>
      <c r="I1015" s="65"/>
      <c r="J1015" s="66"/>
      <c r="K1015" s="1407"/>
      <c r="L1015" s="1409"/>
      <c r="M1015" s="668"/>
    </row>
    <row r="1016" spans="1:13" s="67" customFormat="1">
      <c r="A1016" s="1406"/>
      <c r="B1016" s="1407"/>
      <c r="C1016" s="668"/>
      <c r="D1016" s="666"/>
      <c r="E1016" s="667"/>
      <c r="F1016" s="667"/>
      <c r="G1016" s="668"/>
      <c r="H1016" s="1408"/>
      <c r="I1016" s="65"/>
      <c r="J1016" s="66"/>
      <c r="K1016" s="1407"/>
      <c r="L1016" s="1409"/>
      <c r="M1016" s="668"/>
    </row>
    <row r="1017" spans="1:13" s="67" customFormat="1">
      <c r="A1017" s="1406"/>
      <c r="B1017" s="1407"/>
      <c r="C1017" s="668"/>
      <c r="D1017" s="666"/>
      <c r="E1017" s="667"/>
      <c r="F1017" s="667"/>
      <c r="G1017" s="668"/>
      <c r="H1017" s="1408"/>
      <c r="I1017" s="65"/>
      <c r="J1017" s="66"/>
      <c r="K1017" s="1407"/>
      <c r="L1017" s="1409"/>
      <c r="M1017" s="668"/>
    </row>
    <row r="1018" spans="1:13" s="67" customFormat="1">
      <c r="A1018" s="1406"/>
      <c r="B1018" s="1407"/>
      <c r="C1018" s="668"/>
      <c r="D1018" s="666"/>
      <c r="E1018" s="667"/>
      <c r="F1018" s="667"/>
      <c r="G1018" s="668"/>
      <c r="H1018" s="1408"/>
      <c r="I1018" s="65"/>
      <c r="J1018" s="66"/>
      <c r="K1018" s="1407"/>
      <c r="L1018" s="1409"/>
      <c r="M1018" s="668"/>
    </row>
    <row r="1019" spans="1:13" s="67" customFormat="1">
      <c r="A1019" s="1406"/>
      <c r="B1019" s="1407"/>
      <c r="C1019" s="668"/>
      <c r="D1019" s="666"/>
      <c r="E1019" s="667"/>
      <c r="F1019" s="667"/>
      <c r="G1019" s="668"/>
      <c r="H1019" s="1408"/>
      <c r="I1019" s="65"/>
      <c r="J1019" s="66"/>
      <c r="K1019" s="1407"/>
      <c r="L1019" s="1409"/>
      <c r="M1019" s="668"/>
    </row>
    <row r="1020" spans="1:13" s="67" customFormat="1">
      <c r="A1020" s="1406"/>
      <c r="B1020" s="1407"/>
      <c r="C1020" s="668"/>
      <c r="D1020" s="666"/>
      <c r="E1020" s="667"/>
      <c r="F1020" s="667"/>
      <c r="G1020" s="668"/>
      <c r="H1020" s="1408"/>
      <c r="I1020" s="65"/>
      <c r="J1020" s="66"/>
      <c r="K1020" s="1407"/>
      <c r="L1020" s="1409"/>
      <c r="M1020" s="668"/>
    </row>
    <row r="1021" spans="1:13" s="67" customFormat="1">
      <c r="A1021" s="1406"/>
      <c r="B1021" s="1407"/>
      <c r="C1021" s="668"/>
      <c r="D1021" s="666"/>
      <c r="E1021" s="667"/>
      <c r="F1021" s="667"/>
      <c r="G1021" s="668"/>
      <c r="H1021" s="1408"/>
      <c r="I1021" s="65"/>
      <c r="J1021" s="66"/>
      <c r="K1021" s="1407"/>
      <c r="L1021" s="1409"/>
      <c r="M1021" s="668"/>
    </row>
    <row r="1022" spans="1:13" s="67" customFormat="1">
      <c r="A1022" s="1406"/>
      <c r="B1022" s="1407"/>
      <c r="C1022" s="668"/>
      <c r="D1022" s="666"/>
      <c r="E1022" s="667"/>
      <c r="F1022" s="667"/>
      <c r="G1022" s="668"/>
      <c r="H1022" s="1408"/>
      <c r="I1022" s="65"/>
      <c r="J1022" s="66"/>
      <c r="K1022" s="1407"/>
      <c r="L1022" s="1409"/>
      <c r="M1022" s="668"/>
    </row>
    <row r="1023" spans="1:13" s="67" customFormat="1">
      <c r="A1023" s="1406"/>
      <c r="B1023" s="1407"/>
      <c r="C1023" s="668"/>
      <c r="D1023" s="666"/>
      <c r="E1023" s="667"/>
      <c r="F1023" s="667"/>
      <c r="G1023" s="668"/>
      <c r="H1023" s="1408"/>
      <c r="I1023" s="65"/>
      <c r="J1023" s="66"/>
      <c r="K1023" s="1407"/>
      <c r="L1023" s="1409"/>
      <c r="M1023" s="668"/>
    </row>
    <row r="1024" spans="1:13" s="67" customFormat="1">
      <c r="A1024" s="1406"/>
      <c r="B1024" s="1407"/>
      <c r="C1024" s="668"/>
      <c r="D1024" s="666"/>
      <c r="E1024" s="667"/>
      <c r="F1024" s="667"/>
      <c r="G1024" s="668"/>
      <c r="H1024" s="1408"/>
      <c r="I1024" s="65"/>
      <c r="J1024" s="66"/>
      <c r="K1024" s="1407"/>
      <c r="L1024" s="1409"/>
      <c r="M1024" s="668"/>
    </row>
    <row r="1025" spans="1:13" s="67" customFormat="1">
      <c r="A1025" s="1406"/>
      <c r="B1025" s="1407"/>
      <c r="C1025" s="668"/>
      <c r="D1025" s="666"/>
      <c r="E1025" s="667"/>
      <c r="F1025" s="667"/>
      <c r="G1025" s="668"/>
      <c r="H1025" s="1408"/>
      <c r="I1025" s="65"/>
      <c r="J1025" s="66"/>
      <c r="K1025" s="1407"/>
      <c r="L1025" s="1409"/>
      <c r="M1025" s="668"/>
    </row>
    <row r="1026" spans="1:13" s="67" customFormat="1">
      <c r="A1026" s="1406"/>
      <c r="B1026" s="1407"/>
      <c r="C1026" s="668"/>
      <c r="D1026" s="666"/>
      <c r="E1026" s="667"/>
      <c r="F1026" s="667"/>
      <c r="G1026" s="668"/>
      <c r="H1026" s="1408"/>
      <c r="I1026" s="65"/>
      <c r="J1026" s="66"/>
      <c r="K1026" s="1407"/>
      <c r="L1026" s="1409"/>
      <c r="M1026" s="668"/>
    </row>
    <row r="1027" spans="1:13" s="67" customFormat="1">
      <c r="A1027" s="1406"/>
      <c r="B1027" s="1407"/>
      <c r="C1027" s="668"/>
      <c r="D1027" s="666"/>
      <c r="E1027" s="667"/>
      <c r="F1027" s="667"/>
      <c r="G1027" s="668"/>
      <c r="H1027" s="1408"/>
      <c r="I1027" s="65"/>
      <c r="J1027" s="66"/>
      <c r="K1027" s="1407"/>
      <c r="L1027" s="1409"/>
      <c r="M1027" s="668"/>
    </row>
    <row r="1028" spans="1:13" s="67" customFormat="1">
      <c r="A1028" s="1406"/>
      <c r="B1028" s="1407"/>
      <c r="C1028" s="668"/>
      <c r="D1028" s="666"/>
      <c r="E1028" s="667"/>
      <c r="F1028" s="667"/>
      <c r="G1028" s="668"/>
      <c r="H1028" s="1408"/>
      <c r="I1028" s="65"/>
      <c r="J1028" s="66"/>
      <c r="K1028" s="1407"/>
      <c r="L1028" s="1409"/>
      <c r="M1028" s="668"/>
    </row>
    <row r="1029" spans="1:13" s="67" customFormat="1">
      <c r="A1029" s="1406"/>
      <c r="B1029" s="1407"/>
      <c r="C1029" s="668"/>
      <c r="D1029" s="666"/>
      <c r="E1029" s="667"/>
      <c r="F1029" s="667"/>
      <c r="G1029" s="668"/>
      <c r="H1029" s="1408"/>
      <c r="I1029" s="65"/>
      <c r="J1029" s="66"/>
      <c r="K1029" s="1407"/>
      <c r="L1029" s="1409"/>
      <c r="M1029" s="668"/>
    </row>
    <row r="1030" spans="1:13" s="67" customFormat="1">
      <c r="A1030" s="1406"/>
      <c r="B1030" s="1407"/>
      <c r="C1030" s="668"/>
      <c r="D1030" s="666"/>
      <c r="E1030" s="667"/>
      <c r="F1030" s="667"/>
      <c r="G1030" s="668"/>
      <c r="H1030" s="1408"/>
      <c r="I1030" s="65"/>
      <c r="J1030" s="66"/>
      <c r="K1030" s="1407"/>
      <c r="L1030" s="1409"/>
      <c r="M1030" s="668"/>
    </row>
    <row r="1031" spans="1:13" s="67" customFormat="1">
      <c r="A1031" s="1406"/>
      <c r="B1031" s="1407"/>
      <c r="C1031" s="668"/>
      <c r="D1031" s="666"/>
      <c r="E1031" s="667"/>
      <c r="F1031" s="667"/>
      <c r="G1031" s="668"/>
      <c r="H1031" s="1408"/>
      <c r="I1031" s="65"/>
      <c r="J1031" s="66"/>
      <c r="K1031" s="1407"/>
      <c r="L1031" s="1409"/>
      <c r="M1031" s="668"/>
    </row>
    <row r="1032" spans="1:13" s="67" customFormat="1">
      <c r="A1032" s="1406"/>
      <c r="B1032" s="1407"/>
      <c r="C1032" s="668"/>
      <c r="D1032" s="666"/>
      <c r="E1032" s="667"/>
      <c r="F1032" s="667"/>
      <c r="G1032" s="668"/>
      <c r="H1032" s="1408"/>
      <c r="I1032" s="65"/>
      <c r="J1032" s="66"/>
      <c r="K1032" s="1407"/>
      <c r="L1032" s="1409"/>
      <c r="M1032" s="668"/>
    </row>
    <row r="1033" spans="1:13" s="67" customFormat="1">
      <c r="A1033" s="1406"/>
      <c r="B1033" s="1407"/>
      <c r="C1033" s="668"/>
      <c r="D1033" s="666"/>
      <c r="E1033" s="667"/>
      <c r="F1033" s="667"/>
      <c r="G1033" s="668"/>
      <c r="H1033" s="1408"/>
      <c r="I1033" s="65"/>
      <c r="J1033" s="66"/>
      <c r="K1033" s="1407"/>
      <c r="L1033" s="1409"/>
      <c r="M1033" s="668"/>
    </row>
    <row r="1034" spans="1:13" s="67" customFormat="1">
      <c r="A1034" s="1406"/>
      <c r="B1034" s="1407"/>
      <c r="C1034" s="668"/>
      <c r="D1034" s="666"/>
      <c r="E1034" s="667"/>
      <c r="F1034" s="667"/>
      <c r="G1034" s="668"/>
      <c r="H1034" s="1408"/>
      <c r="I1034" s="65"/>
      <c r="J1034" s="66"/>
      <c r="K1034" s="1407"/>
      <c r="L1034" s="1409"/>
      <c r="M1034" s="668"/>
    </row>
    <row r="1035" spans="1:13" s="67" customFormat="1">
      <c r="A1035" s="1406"/>
      <c r="B1035" s="1407"/>
      <c r="C1035" s="668"/>
      <c r="D1035" s="666"/>
      <c r="E1035" s="667"/>
      <c r="F1035" s="667"/>
      <c r="G1035" s="668"/>
      <c r="H1035" s="1408"/>
      <c r="I1035" s="65"/>
      <c r="J1035" s="66"/>
      <c r="K1035" s="1407"/>
      <c r="L1035" s="1409"/>
      <c r="M1035" s="668"/>
    </row>
    <row r="1036" spans="1:13" s="67" customFormat="1">
      <c r="A1036" s="1406"/>
      <c r="B1036" s="1407"/>
      <c r="C1036" s="668"/>
      <c r="D1036" s="666"/>
      <c r="E1036" s="667"/>
      <c r="F1036" s="667"/>
      <c r="G1036" s="668"/>
      <c r="H1036" s="1408"/>
      <c r="I1036" s="65"/>
      <c r="J1036" s="66"/>
      <c r="K1036" s="1407"/>
      <c r="L1036" s="1409"/>
      <c r="M1036" s="668"/>
    </row>
    <row r="1037" spans="1:13" s="67" customFormat="1">
      <c r="A1037" s="1406"/>
      <c r="B1037" s="1407"/>
      <c r="C1037" s="668"/>
      <c r="D1037" s="666"/>
      <c r="E1037" s="667"/>
      <c r="F1037" s="667"/>
      <c r="G1037" s="668"/>
      <c r="H1037" s="1408"/>
      <c r="I1037" s="65"/>
      <c r="J1037" s="66"/>
      <c r="K1037" s="1407"/>
      <c r="L1037" s="1409"/>
      <c r="M1037" s="668"/>
    </row>
    <row r="1038" spans="1:13" s="67" customFormat="1">
      <c r="A1038" s="1406"/>
      <c r="B1038" s="1407"/>
      <c r="C1038" s="668"/>
      <c r="D1038" s="666"/>
      <c r="E1038" s="667"/>
      <c r="F1038" s="667"/>
      <c r="G1038" s="668"/>
      <c r="H1038" s="1408"/>
      <c r="I1038" s="65"/>
      <c r="J1038" s="66"/>
      <c r="K1038" s="1407"/>
      <c r="L1038" s="1409"/>
      <c r="M1038" s="668"/>
    </row>
    <row r="1039" spans="1:13" s="67" customFormat="1">
      <c r="A1039" s="1406"/>
      <c r="B1039" s="1407"/>
      <c r="C1039" s="668"/>
      <c r="D1039" s="666"/>
      <c r="E1039" s="667"/>
      <c r="F1039" s="667"/>
      <c r="G1039" s="668"/>
      <c r="H1039" s="1408"/>
      <c r="I1039" s="65"/>
      <c r="J1039" s="66"/>
      <c r="K1039" s="1407"/>
      <c r="L1039" s="1409"/>
      <c r="M1039" s="668"/>
    </row>
    <row r="1040" spans="1:13" s="67" customFormat="1">
      <c r="A1040" s="1406"/>
      <c r="B1040" s="1407"/>
      <c r="C1040" s="668"/>
      <c r="D1040" s="666"/>
      <c r="E1040" s="667"/>
      <c r="F1040" s="667"/>
      <c r="G1040" s="668"/>
      <c r="H1040" s="1408"/>
      <c r="I1040" s="65"/>
      <c r="J1040" s="66"/>
      <c r="K1040" s="1407"/>
      <c r="L1040" s="1409"/>
      <c r="M1040" s="668"/>
    </row>
    <row r="1041" spans="1:13" s="67" customFormat="1">
      <c r="A1041" s="1406"/>
      <c r="B1041" s="1407"/>
      <c r="C1041" s="668"/>
      <c r="D1041" s="666"/>
      <c r="E1041" s="667"/>
      <c r="F1041" s="667"/>
      <c r="G1041" s="668"/>
      <c r="H1041" s="1408"/>
      <c r="I1041" s="65"/>
      <c r="J1041" s="66"/>
      <c r="K1041" s="1407"/>
      <c r="L1041" s="1409"/>
      <c r="M1041" s="668"/>
    </row>
    <row r="1042" spans="1:13" s="67" customFormat="1">
      <c r="A1042" s="1406"/>
      <c r="B1042" s="1407"/>
      <c r="C1042" s="668"/>
      <c r="D1042" s="666"/>
      <c r="E1042" s="667"/>
      <c r="F1042" s="667"/>
      <c r="G1042" s="668"/>
      <c r="H1042" s="1408"/>
      <c r="I1042" s="65"/>
      <c r="J1042" s="66"/>
      <c r="K1042" s="1407"/>
      <c r="L1042" s="1409"/>
      <c r="M1042" s="668"/>
    </row>
    <row r="1043" spans="1:13" s="67" customFormat="1">
      <c r="A1043" s="1406"/>
      <c r="B1043" s="1407"/>
      <c r="C1043" s="668"/>
      <c r="D1043" s="666"/>
      <c r="E1043" s="667"/>
      <c r="F1043" s="667"/>
      <c r="G1043" s="668"/>
      <c r="H1043" s="1408"/>
      <c r="I1043" s="65"/>
      <c r="J1043" s="66"/>
      <c r="K1043" s="1407"/>
      <c r="L1043" s="1409"/>
      <c r="M1043" s="668"/>
    </row>
    <row r="1044" spans="1:13" s="67" customFormat="1">
      <c r="A1044" s="1406"/>
      <c r="B1044" s="1407"/>
      <c r="C1044" s="668"/>
      <c r="D1044" s="666"/>
      <c r="E1044" s="667"/>
      <c r="F1044" s="667"/>
      <c r="G1044" s="668"/>
      <c r="H1044" s="1408"/>
      <c r="I1044" s="65"/>
      <c r="J1044" s="66"/>
      <c r="K1044" s="1407"/>
      <c r="L1044" s="1409"/>
      <c r="M1044" s="668"/>
    </row>
    <row r="1045" spans="1:13" s="67" customFormat="1">
      <c r="A1045" s="1406"/>
      <c r="B1045" s="1407"/>
      <c r="C1045" s="668"/>
      <c r="D1045" s="666"/>
      <c r="E1045" s="667"/>
      <c r="F1045" s="667"/>
      <c r="G1045" s="668"/>
      <c r="H1045" s="1408"/>
      <c r="I1045" s="65"/>
      <c r="J1045" s="66"/>
      <c r="K1045" s="1407"/>
      <c r="L1045" s="1409"/>
      <c r="M1045" s="668"/>
    </row>
    <row r="1046" spans="1:13" s="67" customFormat="1">
      <c r="A1046" s="1406"/>
      <c r="B1046" s="1407"/>
      <c r="C1046" s="668"/>
      <c r="D1046" s="666"/>
      <c r="E1046" s="667"/>
      <c r="F1046" s="667"/>
      <c r="G1046" s="668"/>
      <c r="H1046" s="1408"/>
      <c r="I1046" s="65"/>
      <c r="J1046" s="66"/>
      <c r="K1046" s="1407"/>
      <c r="L1046" s="1409"/>
      <c r="M1046" s="668"/>
    </row>
    <row r="1047" spans="1:13" s="67" customFormat="1">
      <c r="A1047" s="1406"/>
      <c r="B1047" s="1407"/>
      <c r="C1047" s="668"/>
      <c r="D1047" s="666"/>
      <c r="E1047" s="667"/>
      <c r="F1047" s="667"/>
      <c r="G1047" s="668"/>
      <c r="H1047" s="1408"/>
      <c r="I1047" s="65"/>
      <c r="J1047" s="66"/>
      <c r="K1047" s="1407"/>
      <c r="L1047" s="1409"/>
      <c r="M1047" s="668"/>
    </row>
    <row r="1048" spans="1:13" s="67" customFormat="1">
      <c r="A1048" s="1406"/>
      <c r="B1048" s="1407"/>
      <c r="C1048" s="668"/>
      <c r="D1048" s="666"/>
      <c r="E1048" s="667"/>
      <c r="F1048" s="667"/>
      <c r="G1048" s="668"/>
      <c r="H1048" s="1408"/>
      <c r="I1048" s="65"/>
      <c r="J1048" s="66"/>
      <c r="K1048" s="1407"/>
      <c r="L1048" s="1409"/>
      <c r="M1048" s="668"/>
    </row>
    <row r="1049" spans="1:13" s="67" customFormat="1">
      <c r="A1049" s="1406"/>
      <c r="B1049" s="1407"/>
      <c r="C1049" s="668"/>
      <c r="D1049" s="666"/>
      <c r="E1049" s="667"/>
      <c r="F1049" s="667"/>
      <c r="G1049" s="668"/>
      <c r="H1049" s="1408"/>
      <c r="I1049" s="65"/>
      <c r="J1049" s="66"/>
      <c r="K1049" s="1407"/>
      <c r="L1049" s="1409"/>
      <c r="M1049" s="668"/>
    </row>
    <row r="1050" spans="1:13" s="67" customFormat="1">
      <c r="A1050" s="1406"/>
      <c r="B1050" s="1407"/>
      <c r="C1050" s="668"/>
      <c r="D1050" s="666"/>
      <c r="E1050" s="667"/>
      <c r="F1050" s="667"/>
      <c r="G1050" s="668"/>
      <c r="H1050" s="1408"/>
      <c r="I1050" s="65"/>
      <c r="J1050" s="66"/>
      <c r="K1050" s="1407"/>
      <c r="L1050" s="1409"/>
      <c r="M1050" s="668"/>
    </row>
    <row r="1051" spans="1:13" s="67" customFormat="1">
      <c r="A1051" s="1406"/>
      <c r="B1051" s="1407"/>
      <c r="C1051" s="668"/>
      <c r="D1051" s="666"/>
      <c r="E1051" s="667"/>
      <c r="F1051" s="667"/>
      <c r="G1051" s="668"/>
      <c r="H1051" s="1408"/>
      <c r="I1051" s="65"/>
      <c r="J1051" s="66"/>
      <c r="K1051" s="1407"/>
      <c r="L1051" s="1409"/>
      <c r="M1051" s="668"/>
    </row>
    <row r="1052" spans="1:13" s="67" customFormat="1">
      <c r="A1052" s="1406"/>
      <c r="B1052" s="1407"/>
      <c r="C1052" s="668"/>
      <c r="D1052" s="666"/>
      <c r="E1052" s="667"/>
      <c r="F1052" s="667"/>
      <c r="G1052" s="668"/>
      <c r="H1052" s="1408"/>
      <c r="I1052" s="65"/>
      <c r="J1052" s="66"/>
      <c r="K1052" s="1407"/>
      <c r="L1052" s="1409"/>
      <c r="M1052" s="668"/>
    </row>
    <row r="1053" spans="1:13" s="67" customFormat="1">
      <c r="A1053" s="1406"/>
      <c r="B1053" s="1407"/>
      <c r="C1053" s="668"/>
      <c r="D1053" s="666"/>
      <c r="E1053" s="667"/>
      <c r="F1053" s="667"/>
      <c r="G1053" s="668"/>
      <c r="H1053" s="1408"/>
      <c r="I1053" s="65"/>
      <c r="J1053" s="66"/>
      <c r="K1053" s="1407"/>
      <c r="L1053" s="1409"/>
      <c r="M1053" s="668"/>
    </row>
    <row r="1054" spans="1:13" s="67" customFormat="1">
      <c r="A1054" s="1406"/>
      <c r="B1054" s="1407"/>
      <c r="C1054" s="668"/>
      <c r="D1054" s="666"/>
      <c r="E1054" s="667"/>
      <c r="F1054" s="667"/>
      <c r="G1054" s="668"/>
      <c r="H1054" s="1408"/>
      <c r="I1054" s="65"/>
      <c r="J1054" s="66"/>
      <c r="K1054" s="1407"/>
      <c r="L1054" s="1409"/>
      <c r="M1054" s="668"/>
    </row>
    <row r="1055" spans="1:13" s="67" customFormat="1">
      <c r="A1055" s="1406"/>
      <c r="B1055" s="1407"/>
      <c r="C1055" s="668"/>
      <c r="D1055" s="666"/>
      <c r="E1055" s="667"/>
      <c r="F1055" s="667"/>
      <c r="G1055" s="668"/>
      <c r="H1055" s="1408"/>
      <c r="I1055" s="65"/>
      <c r="J1055" s="66"/>
      <c r="K1055" s="1407"/>
      <c r="L1055" s="1409"/>
      <c r="M1055" s="668"/>
    </row>
    <row r="1056" spans="1:13" s="67" customFormat="1">
      <c r="A1056" s="1406"/>
      <c r="B1056" s="1407"/>
      <c r="C1056" s="668"/>
      <c r="D1056" s="666"/>
      <c r="E1056" s="667"/>
      <c r="F1056" s="667"/>
      <c r="G1056" s="668"/>
      <c r="H1056" s="1408"/>
      <c r="I1056" s="65"/>
      <c r="J1056" s="66"/>
      <c r="K1056" s="1407"/>
      <c r="L1056" s="1409"/>
      <c r="M1056" s="668"/>
    </row>
    <row r="1057" spans="1:13" s="67" customFormat="1">
      <c r="A1057" s="1406"/>
      <c r="B1057" s="1407"/>
      <c r="C1057" s="668"/>
      <c r="D1057" s="666"/>
      <c r="E1057" s="667"/>
      <c r="F1057" s="667"/>
      <c r="G1057" s="668"/>
      <c r="H1057" s="1408"/>
      <c r="I1057" s="65"/>
      <c r="J1057" s="66"/>
      <c r="K1057" s="1407"/>
      <c r="L1057" s="1409"/>
      <c r="M1057" s="668"/>
    </row>
    <row r="1058" spans="1:13" s="67" customFormat="1">
      <c r="A1058" s="1406"/>
      <c r="B1058" s="1407"/>
      <c r="C1058" s="668"/>
      <c r="D1058" s="666"/>
      <c r="E1058" s="667"/>
      <c r="F1058" s="667"/>
      <c r="G1058" s="668"/>
      <c r="H1058" s="1408"/>
      <c r="I1058" s="65"/>
      <c r="J1058" s="66"/>
      <c r="K1058" s="1407"/>
      <c r="L1058" s="1409"/>
      <c r="M1058" s="668"/>
    </row>
    <row r="1059" spans="1:13" s="67" customFormat="1">
      <c r="A1059" s="1406"/>
      <c r="B1059" s="1407"/>
      <c r="C1059" s="668"/>
      <c r="D1059" s="666"/>
      <c r="E1059" s="667"/>
      <c r="F1059" s="667"/>
      <c r="G1059" s="668"/>
      <c r="H1059" s="1408"/>
      <c r="I1059" s="65"/>
      <c r="J1059" s="66"/>
      <c r="K1059" s="1407"/>
      <c r="L1059" s="1409"/>
      <c r="M1059" s="668"/>
    </row>
    <row r="1060" spans="1:13" s="67" customFormat="1">
      <c r="A1060" s="1406"/>
      <c r="B1060" s="1407"/>
      <c r="C1060" s="668"/>
      <c r="D1060" s="666"/>
      <c r="E1060" s="667"/>
      <c r="F1060" s="667"/>
      <c r="G1060" s="668"/>
      <c r="H1060" s="1408"/>
      <c r="I1060" s="65"/>
      <c r="J1060" s="66"/>
      <c r="K1060" s="1407"/>
      <c r="L1060" s="1409"/>
      <c r="M1060" s="668"/>
    </row>
    <row r="1061" spans="1:13" s="67" customFormat="1">
      <c r="A1061" s="1406"/>
      <c r="B1061" s="1407"/>
      <c r="C1061" s="668"/>
      <c r="D1061" s="666"/>
      <c r="E1061" s="667"/>
      <c r="F1061" s="667"/>
      <c r="G1061" s="668"/>
      <c r="H1061" s="1408"/>
      <c r="I1061" s="65"/>
      <c r="J1061" s="66"/>
      <c r="K1061" s="1407"/>
      <c r="L1061" s="1409"/>
      <c r="M1061" s="668"/>
    </row>
    <row r="1062" spans="1:13" s="67" customFormat="1">
      <c r="A1062" s="1406"/>
      <c r="B1062" s="1407"/>
      <c r="C1062" s="668"/>
      <c r="D1062" s="666"/>
      <c r="E1062" s="667"/>
      <c r="F1062" s="667"/>
      <c r="G1062" s="668"/>
      <c r="H1062" s="1408"/>
      <c r="I1062" s="65"/>
      <c r="J1062" s="66"/>
      <c r="K1062" s="1407"/>
      <c r="L1062" s="1409"/>
      <c r="M1062" s="668"/>
    </row>
    <row r="1063" spans="1:13" s="67" customFormat="1">
      <c r="A1063" s="1406"/>
      <c r="B1063" s="1407"/>
      <c r="C1063" s="668"/>
      <c r="D1063" s="666"/>
      <c r="E1063" s="667"/>
      <c r="F1063" s="667"/>
      <c r="G1063" s="668"/>
      <c r="H1063" s="1408"/>
      <c r="I1063" s="65"/>
      <c r="J1063" s="66"/>
      <c r="K1063" s="1407"/>
      <c r="L1063" s="1409"/>
      <c r="M1063" s="668"/>
    </row>
    <row r="1064" spans="1:13" s="67" customFormat="1">
      <c r="A1064" s="1406"/>
      <c r="B1064" s="1407"/>
      <c r="C1064" s="668"/>
      <c r="D1064" s="666"/>
      <c r="E1064" s="667"/>
      <c r="F1064" s="667"/>
      <c r="G1064" s="668"/>
      <c r="H1064" s="1408"/>
      <c r="I1064" s="65"/>
      <c r="J1064" s="66"/>
      <c r="K1064" s="1407"/>
      <c r="L1064" s="1409"/>
      <c r="M1064" s="668"/>
    </row>
    <row r="1065" spans="1:13" s="67" customFormat="1">
      <c r="A1065" s="1406"/>
      <c r="B1065" s="1407"/>
      <c r="C1065" s="668"/>
      <c r="D1065" s="666"/>
      <c r="E1065" s="667"/>
      <c r="F1065" s="667"/>
      <c r="G1065" s="668"/>
      <c r="H1065" s="1408"/>
      <c r="I1065" s="65"/>
      <c r="J1065" s="66"/>
      <c r="K1065" s="1407"/>
      <c r="L1065" s="1409"/>
      <c r="M1065" s="668"/>
    </row>
    <row r="1066" spans="1:13" s="67" customFormat="1">
      <c r="A1066" s="1406"/>
      <c r="B1066" s="1407"/>
      <c r="C1066" s="668"/>
      <c r="D1066" s="666"/>
      <c r="E1066" s="667"/>
      <c r="F1066" s="667"/>
      <c r="G1066" s="668"/>
      <c r="H1066" s="1408"/>
      <c r="I1066" s="65"/>
      <c r="J1066" s="66"/>
      <c r="K1066" s="1407"/>
      <c r="L1066" s="1409"/>
      <c r="M1066" s="668"/>
    </row>
    <row r="1067" spans="1:13" s="67" customFormat="1">
      <c r="A1067" s="1406"/>
      <c r="B1067" s="1407"/>
      <c r="C1067" s="668"/>
      <c r="D1067" s="666"/>
      <c r="E1067" s="667"/>
      <c r="F1067" s="667"/>
      <c r="G1067" s="668"/>
      <c r="H1067" s="1408"/>
      <c r="I1067" s="65"/>
      <c r="J1067" s="66"/>
      <c r="K1067" s="1407"/>
      <c r="L1067" s="1409"/>
      <c r="M1067" s="668"/>
    </row>
    <row r="1068" spans="1:13" s="67" customFormat="1">
      <c r="A1068" s="1406"/>
      <c r="B1068" s="1407"/>
      <c r="C1068" s="668"/>
      <c r="D1068" s="666"/>
      <c r="E1068" s="667"/>
      <c r="F1068" s="667"/>
      <c r="G1068" s="668"/>
      <c r="H1068" s="1408"/>
      <c r="I1068" s="65"/>
      <c r="J1068" s="66"/>
      <c r="K1068" s="1407"/>
      <c r="L1068" s="1409"/>
      <c r="M1068" s="668"/>
    </row>
    <row r="1069" spans="1:13" s="67" customFormat="1">
      <c r="A1069" s="1406"/>
      <c r="B1069" s="1407"/>
      <c r="C1069" s="668"/>
      <c r="D1069" s="666"/>
      <c r="E1069" s="667"/>
      <c r="F1069" s="667"/>
      <c r="G1069" s="668"/>
      <c r="H1069" s="1408"/>
      <c r="I1069" s="65"/>
      <c r="J1069" s="66"/>
      <c r="K1069" s="1407"/>
      <c r="L1069" s="1409"/>
      <c r="M1069" s="668"/>
    </row>
    <row r="1070" spans="1:13" s="67" customFormat="1">
      <c r="A1070" s="1406"/>
      <c r="B1070" s="1407"/>
      <c r="C1070" s="668"/>
      <c r="D1070" s="666"/>
      <c r="E1070" s="667"/>
      <c r="F1070" s="667"/>
      <c r="G1070" s="668"/>
      <c r="H1070" s="1408"/>
      <c r="I1070" s="65"/>
      <c r="J1070" s="66"/>
      <c r="K1070" s="1407"/>
      <c r="L1070" s="1409"/>
      <c r="M1070" s="668"/>
    </row>
    <row r="1071" spans="1:13" s="67" customFormat="1">
      <c r="A1071" s="1406"/>
      <c r="B1071" s="1407"/>
      <c r="C1071" s="668"/>
      <c r="D1071" s="666"/>
      <c r="E1071" s="667"/>
      <c r="F1071" s="667"/>
      <c r="G1071" s="668"/>
      <c r="H1071" s="1408"/>
      <c r="I1071" s="65"/>
      <c r="J1071" s="66"/>
      <c r="K1071" s="1407"/>
      <c r="L1071" s="1409"/>
      <c r="M1071" s="668"/>
    </row>
    <row r="1072" spans="1:13" s="67" customFormat="1">
      <c r="A1072" s="1406"/>
      <c r="B1072" s="1407"/>
      <c r="C1072" s="668"/>
      <c r="D1072" s="666"/>
      <c r="E1072" s="667"/>
      <c r="F1072" s="667"/>
      <c r="G1072" s="668"/>
      <c r="H1072" s="1408"/>
      <c r="I1072" s="65"/>
      <c r="J1072" s="66"/>
      <c r="K1072" s="1407"/>
      <c r="L1072" s="1409"/>
      <c r="M1072" s="668"/>
    </row>
    <row r="1073" spans="1:13" s="67" customFormat="1">
      <c r="A1073" s="1406"/>
      <c r="B1073" s="1407"/>
      <c r="C1073" s="668"/>
      <c r="D1073" s="666"/>
      <c r="E1073" s="667"/>
      <c r="F1073" s="667"/>
      <c r="G1073" s="668"/>
      <c r="H1073" s="1408"/>
      <c r="I1073" s="65"/>
      <c r="J1073" s="66"/>
      <c r="K1073" s="1407"/>
      <c r="L1073" s="1409"/>
      <c r="M1073" s="668"/>
    </row>
    <row r="1074" spans="1:13" s="67" customFormat="1">
      <c r="A1074" s="1406"/>
      <c r="B1074" s="1407"/>
      <c r="C1074" s="668"/>
      <c r="D1074" s="666"/>
      <c r="E1074" s="667"/>
      <c r="F1074" s="667"/>
      <c r="G1074" s="668"/>
      <c r="H1074" s="1408"/>
      <c r="I1074" s="65"/>
      <c r="J1074" s="66"/>
      <c r="K1074" s="1407"/>
      <c r="L1074" s="1409"/>
      <c r="M1074" s="668"/>
    </row>
    <row r="1075" spans="1:13" s="67" customFormat="1">
      <c r="A1075" s="1406"/>
      <c r="B1075" s="1407"/>
      <c r="C1075" s="668"/>
      <c r="D1075" s="666"/>
      <c r="E1075" s="667"/>
      <c r="F1075" s="667"/>
      <c r="G1075" s="668"/>
      <c r="H1075" s="1408"/>
      <c r="I1075" s="65"/>
      <c r="J1075" s="66"/>
      <c r="K1075" s="1407"/>
      <c r="L1075" s="1409"/>
      <c r="M1075" s="668"/>
    </row>
    <row r="1076" spans="1:13" s="67" customFormat="1">
      <c r="A1076" s="1406"/>
      <c r="B1076" s="1407"/>
      <c r="C1076" s="668"/>
      <c r="D1076" s="666"/>
      <c r="E1076" s="667"/>
      <c r="F1076" s="667"/>
      <c r="G1076" s="668"/>
      <c r="H1076" s="1408"/>
      <c r="I1076" s="65"/>
      <c r="J1076" s="66"/>
      <c r="K1076" s="1407"/>
      <c r="L1076" s="1409"/>
      <c r="M1076" s="668"/>
    </row>
    <row r="1077" spans="1:13" s="67" customFormat="1">
      <c r="A1077" s="1406"/>
      <c r="B1077" s="1407"/>
      <c r="C1077" s="668"/>
      <c r="D1077" s="666"/>
      <c r="E1077" s="667"/>
      <c r="F1077" s="667"/>
      <c r="G1077" s="668"/>
      <c r="H1077" s="1408"/>
      <c r="I1077" s="65"/>
      <c r="J1077" s="66"/>
      <c r="K1077" s="1407"/>
      <c r="L1077" s="1409"/>
      <c r="M1077" s="668"/>
    </row>
    <row r="1078" spans="1:13" s="67" customFormat="1">
      <c r="A1078" s="1406"/>
      <c r="B1078" s="1407"/>
      <c r="C1078" s="668"/>
      <c r="D1078" s="666"/>
      <c r="E1078" s="667"/>
      <c r="F1078" s="667"/>
      <c r="G1078" s="668"/>
      <c r="H1078" s="1408"/>
      <c r="I1078" s="65"/>
      <c r="J1078" s="66"/>
      <c r="K1078" s="1407"/>
      <c r="L1078" s="1409"/>
      <c r="M1078" s="668"/>
    </row>
    <row r="1079" spans="1:13" s="67" customFormat="1">
      <c r="A1079" s="1406"/>
      <c r="B1079" s="1407"/>
      <c r="C1079" s="668"/>
      <c r="D1079" s="666"/>
      <c r="E1079" s="667"/>
      <c r="F1079" s="667"/>
      <c r="G1079" s="668"/>
      <c r="H1079" s="1408"/>
      <c r="I1079" s="65"/>
      <c r="J1079" s="66"/>
      <c r="K1079" s="1407"/>
      <c r="L1079" s="1409"/>
      <c r="M1079" s="668"/>
    </row>
    <row r="1080" spans="1:13" s="67" customFormat="1">
      <c r="A1080" s="1406"/>
      <c r="B1080" s="1407"/>
      <c r="C1080" s="668"/>
      <c r="D1080" s="666"/>
      <c r="E1080" s="667"/>
      <c r="F1080" s="667"/>
      <c r="G1080" s="668"/>
      <c r="H1080" s="1408"/>
      <c r="I1080" s="65"/>
      <c r="J1080" s="66"/>
      <c r="K1080" s="1407"/>
      <c r="L1080" s="1409"/>
      <c r="M1080" s="668"/>
    </row>
    <row r="1081" spans="1:13" s="67" customFormat="1">
      <c r="A1081" s="1406"/>
      <c r="B1081" s="1407"/>
      <c r="C1081" s="668"/>
      <c r="D1081" s="666"/>
      <c r="E1081" s="667"/>
      <c r="F1081" s="667"/>
      <c r="G1081" s="668"/>
      <c r="H1081" s="1408"/>
      <c r="I1081" s="65"/>
      <c r="J1081" s="66"/>
      <c r="K1081" s="1407"/>
      <c r="L1081" s="1409"/>
      <c r="M1081" s="668"/>
    </row>
    <row r="1082" spans="1:13" s="67" customFormat="1">
      <c r="A1082" s="1406"/>
      <c r="B1082" s="1407"/>
      <c r="C1082" s="668"/>
      <c r="D1082" s="666"/>
      <c r="E1082" s="667"/>
      <c r="F1082" s="667"/>
      <c r="G1082" s="668"/>
      <c r="H1082" s="1408"/>
      <c r="I1082" s="65"/>
      <c r="J1082" s="66"/>
      <c r="K1082" s="1407"/>
      <c r="L1082" s="1409"/>
      <c r="M1082" s="668"/>
    </row>
    <row r="1083" spans="1:13" s="67" customFormat="1">
      <c r="A1083" s="1406"/>
      <c r="B1083" s="1407"/>
      <c r="C1083" s="668"/>
      <c r="D1083" s="666"/>
      <c r="E1083" s="667"/>
      <c r="F1083" s="667"/>
      <c r="G1083" s="668"/>
      <c r="H1083" s="1408"/>
      <c r="I1083" s="65"/>
      <c r="J1083" s="66"/>
      <c r="K1083" s="1407"/>
      <c r="L1083" s="1409"/>
      <c r="M1083" s="668"/>
    </row>
    <row r="1084" spans="1:13" s="67" customFormat="1">
      <c r="A1084" s="1406"/>
      <c r="B1084" s="1407"/>
      <c r="C1084" s="668"/>
      <c r="D1084" s="666"/>
      <c r="E1084" s="667"/>
      <c r="F1084" s="667"/>
      <c r="G1084" s="668"/>
      <c r="H1084" s="1408"/>
      <c r="I1084" s="65"/>
      <c r="J1084" s="66"/>
      <c r="K1084" s="1407"/>
      <c r="L1084" s="1409"/>
      <c r="M1084" s="668"/>
    </row>
    <row r="1085" spans="1:13" s="67" customFormat="1">
      <c r="A1085" s="1406"/>
      <c r="B1085" s="1407"/>
      <c r="C1085" s="668"/>
      <c r="D1085" s="666"/>
      <c r="E1085" s="667"/>
      <c r="F1085" s="667"/>
      <c r="G1085" s="668"/>
      <c r="H1085" s="1408"/>
      <c r="I1085" s="65"/>
      <c r="J1085" s="66"/>
      <c r="K1085" s="1407"/>
      <c r="L1085" s="1409"/>
      <c r="M1085" s="668"/>
    </row>
    <row r="1086" spans="1:13" s="67" customFormat="1">
      <c r="A1086" s="1406"/>
      <c r="B1086" s="1407"/>
      <c r="C1086" s="668"/>
      <c r="D1086" s="666"/>
      <c r="E1086" s="667"/>
      <c r="F1086" s="667"/>
      <c r="G1086" s="668"/>
      <c r="H1086" s="1408"/>
      <c r="I1086" s="65"/>
      <c r="J1086" s="66"/>
      <c r="K1086" s="1407"/>
      <c r="L1086" s="1409"/>
      <c r="M1086" s="668"/>
    </row>
    <row r="1087" spans="1:13" s="67" customFormat="1">
      <c r="A1087" s="1406"/>
      <c r="B1087" s="1407"/>
      <c r="C1087" s="668"/>
      <c r="D1087" s="666"/>
      <c r="E1087" s="667"/>
      <c r="F1087" s="667"/>
      <c r="G1087" s="668"/>
      <c r="H1087" s="1408"/>
      <c r="I1087" s="65"/>
      <c r="J1087" s="66"/>
      <c r="K1087" s="1407"/>
      <c r="L1087" s="1409"/>
      <c r="M1087" s="668"/>
    </row>
    <row r="1088" spans="1:13" s="67" customFormat="1">
      <c r="A1088" s="1406"/>
      <c r="B1088" s="1407"/>
      <c r="C1088" s="668"/>
      <c r="D1088" s="666"/>
      <c r="E1088" s="667"/>
      <c r="F1088" s="667"/>
      <c r="G1088" s="668"/>
      <c r="H1088" s="1408"/>
      <c r="I1088" s="65"/>
      <c r="J1088" s="66"/>
      <c r="K1088" s="1407"/>
      <c r="L1088" s="1409"/>
      <c r="M1088" s="668"/>
    </row>
    <row r="1089" spans="1:13" s="67" customFormat="1">
      <c r="A1089" s="1406"/>
      <c r="B1089" s="1407"/>
      <c r="C1089" s="668"/>
      <c r="D1089" s="666"/>
      <c r="E1089" s="667"/>
      <c r="F1089" s="667"/>
      <c r="G1089" s="668"/>
      <c r="H1089" s="1408"/>
      <c r="I1089" s="65"/>
      <c r="J1089" s="66"/>
      <c r="K1089" s="1407"/>
      <c r="L1089" s="1409"/>
      <c r="M1089" s="668"/>
    </row>
    <row r="1090" spans="1:13" s="67" customFormat="1">
      <c r="A1090" s="1406"/>
      <c r="B1090" s="1407"/>
      <c r="C1090" s="668"/>
      <c r="D1090" s="666"/>
      <c r="E1090" s="667"/>
      <c r="F1090" s="667"/>
      <c r="G1090" s="668"/>
      <c r="H1090" s="1408"/>
      <c r="I1090" s="65"/>
      <c r="J1090" s="66"/>
      <c r="K1090" s="1407"/>
      <c r="L1090" s="1409"/>
      <c r="M1090" s="668"/>
    </row>
    <row r="1091" spans="1:13" s="67" customFormat="1">
      <c r="A1091" s="1406"/>
      <c r="B1091" s="1407"/>
      <c r="C1091" s="668"/>
      <c r="D1091" s="666"/>
      <c r="E1091" s="667"/>
      <c r="F1091" s="667"/>
      <c r="G1091" s="668"/>
      <c r="H1091" s="1408"/>
      <c r="I1091" s="65"/>
      <c r="J1091" s="66"/>
      <c r="K1091" s="1407"/>
      <c r="L1091" s="1409"/>
      <c r="M1091" s="668"/>
    </row>
    <row r="1092" spans="1:13" s="67" customFormat="1">
      <c r="A1092" s="1406"/>
      <c r="B1092" s="1407"/>
      <c r="C1092" s="668"/>
      <c r="D1092" s="666"/>
      <c r="E1092" s="667"/>
      <c r="F1092" s="667"/>
      <c r="G1092" s="668"/>
      <c r="H1092" s="1408"/>
      <c r="I1092" s="65"/>
      <c r="J1092" s="66"/>
      <c r="K1092" s="1407"/>
      <c r="L1092" s="1409"/>
      <c r="M1092" s="668"/>
    </row>
    <row r="1093" spans="1:13" s="67" customFormat="1">
      <c r="A1093" s="1406"/>
      <c r="B1093" s="1407"/>
      <c r="C1093" s="668"/>
      <c r="D1093" s="666"/>
      <c r="E1093" s="667"/>
      <c r="F1093" s="667"/>
      <c r="G1093" s="668"/>
      <c r="H1093" s="1408"/>
      <c r="I1093" s="65"/>
      <c r="J1093" s="66"/>
      <c r="K1093" s="1407"/>
      <c r="L1093" s="1409"/>
      <c r="M1093" s="668"/>
    </row>
    <row r="1094" spans="1:13" s="67" customFormat="1">
      <c r="A1094" s="1406"/>
      <c r="B1094" s="1407"/>
      <c r="C1094" s="668"/>
      <c r="D1094" s="666"/>
      <c r="E1094" s="667"/>
      <c r="F1094" s="667"/>
      <c r="G1094" s="668"/>
      <c r="H1094" s="1408"/>
      <c r="I1094" s="65"/>
      <c r="J1094" s="66"/>
      <c r="K1094" s="1407"/>
      <c r="L1094" s="1409"/>
      <c r="M1094" s="668"/>
    </row>
    <row r="1095" spans="1:13" s="67" customFormat="1">
      <c r="A1095" s="1406"/>
      <c r="B1095" s="1407"/>
      <c r="C1095" s="668"/>
      <c r="D1095" s="666"/>
      <c r="E1095" s="667"/>
      <c r="F1095" s="667"/>
      <c r="G1095" s="668"/>
      <c r="H1095" s="1408"/>
      <c r="I1095" s="65"/>
      <c r="J1095" s="66"/>
      <c r="K1095" s="1407"/>
      <c r="L1095" s="1409"/>
      <c r="M1095" s="668"/>
    </row>
    <row r="1096" spans="1:13" s="67" customFormat="1">
      <c r="A1096" s="1406"/>
      <c r="B1096" s="1407"/>
      <c r="C1096" s="668"/>
      <c r="D1096" s="666"/>
      <c r="E1096" s="667"/>
      <c r="F1096" s="667"/>
      <c r="G1096" s="668"/>
      <c r="H1096" s="1408"/>
      <c r="I1096" s="65"/>
      <c r="J1096" s="66"/>
      <c r="K1096" s="1407"/>
      <c r="L1096" s="1409"/>
      <c r="M1096" s="668"/>
    </row>
    <row r="1097" spans="1:13" s="67" customFormat="1">
      <c r="A1097" s="1406"/>
      <c r="B1097" s="1407"/>
      <c r="C1097" s="668"/>
      <c r="D1097" s="666"/>
      <c r="E1097" s="667"/>
      <c r="F1097" s="667"/>
      <c r="G1097" s="668"/>
      <c r="H1097" s="1408"/>
      <c r="I1097" s="65"/>
      <c r="J1097" s="66"/>
      <c r="K1097" s="1407"/>
      <c r="L1097" s="1409"/>
      <c r="M1097" s="668"/>
    </row>
    <row r="1098" spans="1:13" s="67" customFormat="1">
      <c r="A1098" s="1406"/>
      <c r="B1098" s="1407"/>
      <c r="C1098" s="668"/>
      <c r="D1098" s="666"/>
      <c r="E1098" s="667"/>
      <c r="F1098" s="667"/>
      <c r="G1098" s="668"/>
      <c r="H1098" s="1408"/>
      <c r="I1098" s="65"/>
      <c r="J1098" s="66"/>
      <c r="K1098" s="1407"/>
      <c r="L1098" s="1409"/>
      <c r="M1098" s="668"/>
    </row>
    <row r="1099" spans="1:13" s="67" customFormat="1">
      <c r="A1099" s="1406"/>
      <c r="B1099" s="1407"/>
      <c r="C1099" s="668"/>
      <c r="D1099" s="666"/>
      <c r="E1099" s="667"/>
      <c r="F1099" s="667"/>
      <c r="G1099" s="668"/>
      <c r="H1099" s="1408"/>
      <c r="I1099" s="65"/>
      <c r="J1099" s="66"/>
      <c r="K1099" s="1407"/>
      <c r="L1099" s="1409"/>
      <c r="M1099" s="668"/>
    </row>
    <row r="1100" spans="1:13" s="67" customFormat="1">
      <c r="A1100" s="1406"/>
      <c r="B1100" s="1407"/>
      <c r="C1100" s="668"/>
      <c r="D1100" s="666"/>
      <c r="E1100" s="667"/>
      <c r="F1100" s="667"/>
      <c r="G1100" s="668"/>
      <c r="H1100" s="1408"/>
      <c r="I1100" s="65"/>
      <c r="J1100" s="66"/>
      <c r="K1100" s="1407"/>
      <c r="L1100" s="1409"/>
      <c r="M1100" s="668"/>
    </row>
    <row r="1101" spans="1:13" s="67" customFormat="1">
      <c r="A1101" s="1406"/>
      <c r="B1101" s="1407"/>
      <c r="C1101" s="668"/>
      <c r="D1101" s="666"/>
      <c r="E1101" s="667"/>
      <c r="F1101" s="667"/>
      <c r="G1101" s="668"/>
      <c r="H1101" s="1408"/>
      <c r="I1101" s="65"/>
      <c r="J1101" s="66"/>
      <c r="K1101" s="1407"/>
      <c r="L1101" s="1409"/>
      <c r="M1101" s="668"/>
    </row>
    <row r="1102" spans="1:13" s="67" customFormat="1">
      <c r="A1102" s="1406"/>
      <c r="B1102" s="1407"/>
      <c r="C1102" s="668"/>
      <c r="D1102" s="666"/>
      <c r="E1102" s="667"/>
      <c r="F1102" s="667"/>
      <c r="G1102" s="668"/>
      <c r="H1102" s="1408"/>
      <c r="I1102" s="65"/>
      <c r="J1102" s="66"/>
      <c r="K1102" s="1407"/>
      <c r="L1102" s="1409"/>
      <c r="M1102" s="668"/>
    </row>
    <row r="1103" spans="1:13" s="67" customFormat="1">
      <c r="A1103" s="1406"/>
      <c r="B1103" s="1407"/>
      <c r="C1103" s="668"/>
      <c r="D1103" s="666"/>
      <c r="E1103" s="667"/>
      <c r="F1103" s="667"/>
      <c r="G1103" s="668"/>
      <c r="H1103" s="1408"/>
      <c r="I1103" s="65"/>
      <c r="J1103" s="66"/>
      <c r="K1103" s="1407"/>
      <c r="L1103" s="1409"/>
      <c r="M1103" s="668"/>
    </row>
    <row r="1104" spans="1:13" s="67" customFormat="1">
      <c r="A1104" s="1406"/>
      <c r="B1104" s="1407"/>
      <c r="C1104" s="668"/>
      <c r="D1104" s="666"/>
      <c r="E1104" s="667"/>
      <c r="F1104" s="667"/>
      <c r="G1104" s="668"/>
      <c r="H1104" s="1408"/>
      <c r="I1104" s="65"/>
      <c r="J1104" s="66"/>
      <c r="K1104" s="1407"/>
      <c r="L1104" s="1409"/>
      <c r="M1104" s="668"/>
    </row>
    <row r="1105" spans="1:13" s="67" customFormat="1">
      <c r="A1105" s="1406"/>
      <c r="B1105" s="1407"/>
      <c r="C1105" s="668"/>
      <c r="D1105" s="666"/>
      <c r="E1105" s="667"/>
      <c r="F1105" s="667"/>
      <c r="G1105" s="668"/>
      <c r="H1105" s="1408"/>
      <c r="I1105" s="65"/>
      <c r="J1105" s="66"/>
      <c r="K1105" s="1407"/>
      <c r="L1105" s="1409"/>
      <c r="M1105" s="668"/>
    </row>
    <row r="1106" spans="1:13" s="67" customFormat="1">
      <c r="A1106" s="1406"/>
      <c r="B1106" s="1407"/>
      <c r="C1106" s="668"/>
      <c r="D1106" s="666"/>
      <c r="E1106" s="667"/>
      <c r="F1106" s="667"/>
      <c r="G1106" s="668"/>
      <c r="H1106" s="1408"/>
      <c r="I1106" s="65"/>
      <c r="J1106" s="66"/>
      <c r="K1106" s="1407"/>
      <c r="L1106" s="1409"/>
      <c r="M1106" s="668"/>
    </row>
    <row r="1107" spans="1:13" s="67" customFormat="1">
      <c r="A1107" s="1406"/>
      <c r="B1107" s="1407"/>
      <c r="C1107" s="668"/>
      <c r="D1107" s="666"/>
      <c r="E1107" s="667"/>
      <c r="F1107" s="667"/>
      <c r="G1107" s="668"/>
      <c r="H1107" s="1408"/>
      <c r="I1107" s="65"/>
      <c r="J1107" s="66"/>
      <c r="K1107" s="1407"/>
      <c r="L1107" s="1409"/>
      <c r="M1107" s="668"/>
    </row>
    <row r="1108" spans="1:13" s="67" customFormat="1">
      <c r="A1108" s="1406"/>
      <c r="B1108" s="1407"/>
      <c r="C1108" s="668"/>
      <c r="D1108" s="666"/>
      <c r="E1108" s="667"/>
      <c r="F1108" s="667"/>
      <c r="G1108" s="668"/>
      <c r="H1108" s="1408"/>
      <c r="I1108" s="65"/>
      <c r="J1108" s="66"/>
      <c r="K1108" s="1407"/>
      <c r="L1108" s="1409"/>
      <c r="M1108" s="668"/>
    </row>
    <row r="1109" spans="1:13" s="67" customFormat="1">
      <c r="A1109" s="1406"/>
      <c r="B1109" s="1407"/>
      <c r="C1109" s="668"/>
      <c r="D1109" s="666"/>
      <c r="E1109" s="667"/>
      <c r="F1109" s="667"/>
      <c r="G1109" s="668"/>
      <c r="H1109" s="1408"/>
      <c r="I1109" s="65"/>
      <c r="J1109" s="66"/>
      <c r="K1109" s="1407"/>
      <c r="L1109" s="1409"/>
      <c r="M1109" s="668"/>
    </row>
    <row r="1110" spans="1:13" s="67" customFormat="1">
      <c r="A1110" s="1406"/>
      <c r="B1110" s="1407"/>
      <c r="C1110" s="668"/>
      <c r="D1110" s="666"/>
      <c r="E1110" s="667"/>
      <c r="F1110" s="667"/>
      <c r="G1110" s="668"/>
      <c r="H1110" s="1408"/>
      <c r="I1110" s="65"/>
      <c r="J1110" s="66"/>
      <c r="K1110" s="1407"/>
      <c r="L1110" s="1409"/>
      <c r="M1110" s="668"/>
    </row>
    <row r="1111" spans="1:13" s="67" customFormat="1">
      <c r="A1111" s="1406"/>
      <c r="B1111" s="1407"/>
      <c r="C1111" s="668"/>
      <c r="D1111" s="666"/>
      <c r="E1111" s="667"/>
      <c r="F1111" s="667"/>
      <c r="G1111" s="668"/>
      <c r="H1111" s="1408"/>
      <c r="I1111" s="65"/>
      <c r="J1111" s="66"/>
      <c r="K1111" s="1407"/>
      <c r="L1111" s="1409"/>
      <c r="M1111" s="668"/>
    </row>
    <row r="1112" spans="1:13" s="67" customFormat="1">
      <c r="A1112" s="1406"/>
      <c r="B1112" s="1407"/>
      <c r="C1112" s="668"/>
      <c r="D1112" s="666"/>
      <c r="E1112" s="667"/>
      <c r="F1112" s="667"/>
      <c r="G1112" s="668"/>
      <c r="H1112" s="1408"/>
      <c r="I1112" s="65"/>
      <c r="J1112" s="66"/>
      <c r="K1112" s="1407"/>
      <c r="L1112" s="1409"/>
      <c r="M1112" s="668"/>
    </row>
    <row r="1113" spans="1:13" s="67" customFormat="1">
      <c r="A1113" s="1406"/>
      <c r="B1113" s="1407"/>
      <c r="C1113" s="668"/>
      <c r="D1113" s="666"/>
      <c r="E1113" s="667"/>
      <c r="F1113" s="667"/>
      <c r="G1113" s="668"/>
      <c r="H1113" s="1408"/>
      <c r="I1113" s="65"/>
      <c r="J1113" s="66"/>
      <c r="K1113" s="1407"/>
      <c r="L1113" s="1409"/>
      <c r="M1113" s="668"/>
    </row>
    <row r="1114" spans="1:13" s="67" customFormat="1">
      <c r="A1114" s="1406"/>
      <c r="B1114" s="1407"/>
      <c r="C1114" s="668"/>
      <c r="D1114" s="666"/>
      <c r="E1114" s="667"/>
      <c r="F1114" s="667"/>
      <c r="G1114" s="668"/>
      <c r="H1114" s="1408"/>
      <c r="I1114" s="65"/>
      <c r="J1114" s="66"/>
      <c r="K1114" s="1407"/>
      <c r="L1114" s="1409"/>
      <c r="M1114" s="668"/>
    </row>
    <row r="1115" spans="1:13" s="67" customFormat="1">
      <c r="A1115" s="1406"/>
      <c r="B1115" s="1407"/>
      <c r="C1115" s="668"/>
      <c r="D1115" s="666"/>
      <c r="E1115" s="667"/>
      <c r="F1115" s="667"/>
      <c r="G1115" s="668"/>
      <c r="H1115" s="1408"/>
      <c r="I1115" s="65"/>
      <c r="J1115" s="66"/>
      <c r="K1115" s="1407"/>
      <c r="L1115" s="1409"/>
      <c r="M1115" s="668"/>
    </row>
    <row r="1116" spans="1:13" s="67" customFormat="1">
      <c r="A1116" s="1406"/>
      <c r="B1116" s="1407"/>
      <c r="C1116" s="668"/>
      <c r="D1116" s="666"/>
      <c r="E1116" s="667"/>
      <c r="F1116" s="667"/>
      <c r="G1116" s="668"/>
      <c r="H1116" s="1408"/>
      <c r="I1116" s="65"/>
      <c r="J1116" s="66"/>
      <c r="K1116" s="1407"/>
      <c r="L1116" s="1409"/>
      <c r="M1116" s="668"/>
    </row>
    <row r="1117" spans="1:13" s="67" customFormat="1">
      <c r="A1117" s="1406"/>
      <c r="B1117" s="1407"/>
      <c r="C1117" s="668"/>
      <c r="D1117" s="666"/>
      <c r="E1117" s="667"/>
      <c r="F1117" s="667"/>
      <c r="G1117" s="668"/>
      <c r="H1117" s="1408"/>
      <c r="I1117" s="65"/>
      <c r="J1117" s="66"/>
      <c r="K1117" s="1407"/>
      <c r="L1117" s="1409"/>
      <c r="M1117" s="668"/>
    </row>
    <row r="1118" spans="1:13" s="67" customFormat="1">
      <c r="A1118" s="1406"/>
      <c r="B1118" s="1407"/>
      <c r="C1118" s="668"/>
      <c r="D1118" s="666"/>
      <c r="E1118" s="667"/>
      <c r="F1118" s="667"/>
      <c r="G1118" s="668"/>
      <c r="H1118" s="1408"/>
      <c r="I1118" s="65"/>
      <c r="J1118" s="66"/>
      <c r="K1118" s="1407"/>
      <c r="L1118" s="1409"/>
      <c r="M1118" s="668"/>
    </row>
    <row r="1119" spans="1:13" s="67" customFormat="1">
      <c r="A1119" s="1406"/>
      <c r="B1119" s="1407"/>
      <c r="C1119" s="668"/>
      <c r="D1119" s="666"/>
      <c r="E1119" s="667"/>
      <c r="F1119" s="667"/>
      <c r="G1119" s="668"/>
      <c r="H1119" s="1408"/>
      <c r="I1119" s="65"/>
      <c r="J1119" s="66"/>
      <c r="K1119" s="1407"/>
      <c r="L1119" s="1409"/>
      <c r="M1119" s="668"/>
    </row>
    <row r="1120" spans="1:13" s="67" customFormat="1">
      <c r="A1120" s="1406"/>
      <c r="B1120" s="1407"/>
      <c r="C1120" s="668"/>
      <c r="D1120" s="666"/>
      <c r="E1120" s="667"/>
      <c r="F1120" s="667"/>
      <c r="G1120" s="668"/>
      <c r="H1120" s="1408"/>
      <c r="I1120" s="65"/>
      <c r="J1120" s="66"/>
      <c r="K1120" s="1407"/>
      <c r="L1120" s="1409"/>
      <c r="M1120" s="668"/>
    </row>
    <row r="1121" spans="1:13" s="67" customFormat="1">
      <c r="A1121" s="1406"/>
      <c r="B1121" s="1407"/>
      <c r="C1121" s="668"/>
      <c r="D1121" s="666"/>
      <c r="E1121" s="667"/>
      <c r="F1121" s="667"/>
      <c r="G1121" s="668"/>
      <c r="H1121" s="1408"/>
      <c r="I1121" s="65"/>
      <c r="J1121" s="66"/>
      <c r="K1121" s="1407"/>
      <c r="L1121" s="1409"/>
      <c r="M1121" s="668"/>
    </row>
    <row r="1122" spans="1:13" s="67" customFormat="1">
      <c r="A1122" s="1406"/>
      <c r="B1122" s="1407"/>
      <c r="C1122" s="668"/>
      <c r="D1122" s="666"/>
      <c r="E1122" s="667"/>
      <c r="F1122" s="667"/>
      <c r="G1122" s="668"/>
      <c r="H1122" s="1408"/>
      <c r="I1122" s="65"/>
      <c r="J1122" s="66"/>
      <c r="K1122" s="1407"/>
      <c r="L1122" s="1409"/>
      <c r="M1122" s="668"/>
    </row>
    <row r="1123" spans="1:13" s="67" customFormat="1">
      <c r="A1123" s="1406"/>
      <c r="B1123" s="1407"/>
      <c r="C1123" s="668"/>
      <c r="D1123" s="666"/>
      <c r="E1123" s="667"/>
      <c r="F1123" s="667"/>
      <c r="G1123" s="668"/>
      <c r="H1123" s="1408"/>
      <c r="I1123" s="65"/>
      <c r="J1123" s="66"/>
      <c r="K1123" s="1407"/>
      <c r="L1123" s="1409"/>
      <c r="M1123" s="668"/>
    </row>
    <row r="1124" spans="1:13" s="67" customFormat="1">
      <c r="A1124" s="1406"/>
      <c r="B1124" s="1407"/>
      <c r="C1124" s="668"/>
      <c r="D1124" s="666"/>
      <c r="E1124" s="667"/>
      <c r="F1124" s="667"/>
      <c r="G1124" s="668"/>
      <c r="H1124" s="1408"/>
      <c r="I1124" s="65"/>
      <c r="J1124" s="66"/>
      <c r="K1124" s="1407"/>
      <c r="L1124" s="1409"/>
      <c r="M1124" s="668"/>
    </row>
    <row r="1125" spans="1:13" s="67" customFormat="1">
      <c r="A1125" s="1406"/>
      <c r="B1125" s="1407"/>
      <c r="C1125" s="668"/>
      <c r="D1125" s="666"/>
      <c r="E1125" s="667"/>
      <c r="F1125" s="667"/>
      <c r="G1125" s="668"/>
      <c r="H1125" s="1408"/>
      <c r="I1125" s="65"/>
      <c r="J1125" s="66"/>
      <c r="K1125" s="1407"/>
      <c r="L1125" s="1409"/>
      <c r="M1125" s="668"/>
    </row>
    <row r="1126" spans="1:13" s="67" customFormat="1">
      <c r="A1126" s="1406"/>
      <c r="B1126" s="1407"/>
      <c r="C1126" s="668"/>
      <c r="D1126" s="666"/>
      <c r="E1126" s="667"/>
      <c r="F1126" s="667"/>
      <c r="G1126" s="668"/>
      <c r="H1126" s="1408"/>
      <c r="I1126" s="65"/>
      <c r="J1126" s="66"/>
      <c r="K1126" s="1407"/>
      <c r="L1126" s="1409"/>
      <c r="M1126" s="668"/>
    </row>
    <row r="1127" spans="1:13" s="67" customFormat="1">
      <c r="A1127" s="1406"/>
      <c r="B1127" s="1407"/>
      <c r="C1127" s="668"/>
      <c r="D1127" s="666"/>
      <c r="E1127" s="667"/>
      <c r="F1127" s="667"/>
      <c r="G1127" s="668"/>
      <c r="H1127" s="1408"/>
      <c r="I1127" s="65"/>
      <c r="J1127" s="66"/>
      <c r="K1127" s="1407"/>
      <c r="L1127" s="1409"/>
      <c r="M1127" s="668"/>
    </row>
    <row r="1128" spans="1:13" s="67" customFormat="1">
      <c r="A1128" s="1406"/>
      <c r="B1128" s="1407"/>
      <c r="C1128" s="668"/>
      <c r="D1128" s="666"/>
      <c r="E1128" s="667"/>
      <c r="F1128" s="667"/>
      <c r="G1128" s="668"/>
      <c r="H1128" s="1408"/>
      <c r="I1128" s="65"/>
      <c r="J1128" s="66"/>
      <c r="K1128" s="1407"/>
      <c r="L1128" s="1409"/>
      <c r="M1128" s="668"/>
    </row>
    <row r="1129" spans="1:13" s="67" customFormat="1">
      <c r="A1129" s="1406"/>
      <c r="B1129" s="1407"/>
      <c r="C1129" s="668"/>
      <c r="D1129" s="666"/>
      <c r="E1129" s="667"/>
      <c r="F1129" s="667"/>
      <c r="G1129" s="668"/>
      <c r="H1129" s="1408"/>
      <c r="I1129" s="65"/>
      <c r="J1129" s="66"/>
      <c r="K1129" s="1407"/>
      <c r="L1129" s="1409"/>
      <c r="M1129" s="668"/>
    </row>
    <row r="1130" spans="1:13" s="67" customFormat="1">
      <c r="A1130" s="1406"/>
      <c r="B1130" s="1407"/>
      <c r="C1130" s="668"/>
      <c r="D1130" s="666"/>
      <c r="E1130" s="667"/>
      <c r="F1130" s="667"/>
      <c r="G1130" s="668"/>
      <c r="H1130" s="1408"/>
      <c r="I1130" s="65"/>
      <c r="J1130" s="66"/>
      <c r="K1130" s="1407"/>
      <c r="L1130" s="1409"/>
      <c r="M1130" s="668"/>
    </row>
    <row r="1131" spans="1:13" s="67" customFormat="1">
      <c r="A1131" s="1406"/>
      <c r="B1131" s="1407"/>
      <c r="C1131" s="668"/>
      <c r="D1131" s="666"/>
      <c r="E1131" s="667"/>
      <c r="F1131" s="667"/>
      <c r="G1131" s="668"/>
      <c r="H1131" s="1408"/>
      <c r="I1131" s="65"/>
      <c r="J1131" s="66"/>
      <c r="K1131" s="1407"/>
      <c r="L1131" s="1409"/>
      <c r="M1131" s="668"/>
    </row>
    <row r="1132" spans="1:13" s="67" customFormat="1">
      <c r="A1132" s="1406"/>
      <c r="B1132" s="1407"/>
      <c r="C1132" s="668"/>
      <c r="D1132" s="666"/>
      <c r="E1132" s="667"/>
      <c r="F1132" s="667"/>
      <c r="G1132" s="668"/>
      <c r="H1132" s="1408"/>
      <c r="I1132" s="65"/>
      <c r="J1132" s="66"/>
      <c r="K1132" s="1407"/>
      <c r="L1132" s="1409"/>
      <c r="M1132" s="668"/>
    </row>
    <row r="1133" spans="1:13" s="67" customFormat="1">
      <c r="A1133" s="1406"/>
      <c r="B1133" s="1407"/>
      <c r="C1133" s="668"/>
      <c r="D1133" s="666"/>
      <c r="E1133" s="667"/>
      <c r="F1133" s="667"/>
      <c r="G1133" s="668"/>
      <c r="H1133" s="1408"/>
      <c r="I1133" s="65"/>
      <c r="J1133" s="66"/>
      <c r="K1133" s="1407"/>
      <c r="L1133" s="1409"/>
      <c r="M1133" s="668"/>
    </row>
    <row r="1134" spans="1:13" s="67" customFormat="1">
      <c r="A1134" s="1406"/>
      <c r="B1134" s="1407"/>
      <c r="C1134" s="668"/>
      <c r="D1134" s="666"/>
      <c r="E1134" s="667"/>
      <c r="F1134" s="667"/>
      <c r="G1134" s="668"/>
      <c r="H1134" s="1408"/>
      <c r="I1134" s="65"/>
      <c r="J1134" s="66"/>
      <c r="K1134" s="1407"/>
      <c r="L1134" s="1409"/>
      <c r="M1134" s="668"/>
    </row>
    <row r="1135" spans="1:13" s="67" customFormat="1">
      <c r="A1135" s="1406"/>
      <c r="B1135" s="1407"/>
      <c r="C1135" s="668"/>
      <c r="D1135" s="666"/>
      <c r="E1135" s="667"/>
      <c r="F1135" s="667"/>
      <c r="G1135" s="668"/>
      <c r="H1135" s="1408"/>
      <c r="I1135" s="65"/>
      <c r="J1135" s="66"/>
      <c r="K1135" s="1407"/>
      <c r="L1135" s="1409"/>
      <c r="M1135" s="668"/>
    </row>
    <row r="1136" spans="1:13" s="67" customFormat="1">
      <c r="A1136" s="1406"/>
      <c r="B1136" s="1407"/>
      <c r="C1136" s="668"/>
      <c r="D1136" s="666"/>
      <c r="E1136" s="667"/>
      <c r="F1136" s="667"/>
      <c r="G1136" s="668"/>
      <c r="H1136" s="1408"/>
      <c r="I1136" s="65"/>
      <c r="J1136" s="66"/>
      <c r="K1136" s="1407"/>
      <c r="L1136" s="1409"/>
      <c r="M1136" s="668"/>
    </row>
    <row r="1137" spans="1:13" s="67" customFormat="1">
      <c r="A1137" s="1406"/>
      <c r="B1137" s="1407"/>
      <c r="C1137" s="668"/>
      <c r="D1137" s="666"/>
      <c r="E1137" s="667"/>
      <c r="F1137" s="667"/>
      <c r="G1137" s="668"/>
      <c r="H1137" s="1408"/>
      <c r="I1137" s="65"/>
      <c r="J1137" s="66"/>
      <c r="K1137" s="1407"/>
      <c r="L1137" s="1409"/>
      <c r="M1137" s="668"/>
    </row>
    <row r="1138" spans="1:13" s="67" customFormat="1">
      <c r="A1138" s="1406"/>
      <c r="B1138" s="1407"/>
      <c r="C1138" s="668"/>
      <c r="D1138" s="666"/>
      <c r="E1138" s="667"/>
      <c r="F1138" s="667"/>
      <c r="G1138" s="668"/>
      <c r="H1138" s="1408"/>
      <c r="I1138" s="65"/>
      <c r="J1138" s="66"/>
      <c r="K1138" s="1407"/>
      <c r="L1138" s="1409"/>
      <c r="M1138" s="668"/>
    </row>
    <row r="1139" spans="1:13" s="67" customFormat="1">
      <c r="A1139" s="1406"/>
      <c r="B1139" s="1407"/>
      <c r="C1139" s="668"/>
      <c r="D1139" s="666"/>
      <c r="E1139" s="667"/>
      <c r="F1139" s="667"/>
      <c r="G1139" s="668"/>
      <c r="H1139" s="1408"/>
      <c r="I1139" s="65"/>
      <c r="J1139" s="66"/>
      <c r="K1139" s="1407"/>
      <c r="L1139" s="1409"/>
      <c r="M1139" s="668"/>
    </row>
    <row r="1140" spans="1:13" s="67" customFormat="1">
      <c r="A1140" s="1406"/>
      <c r="B1140" s="1407"/>
      <c r="C1140" s="668"/>
      <c r="D1140" s="666"/>
      <c r="E1140" s="667"/>
      <c r="F1140" s="667"/>
      <c r="G1140" s="668"/>
      <c r="H1140" s="1408"/>
      <c r="I1140" s="65"/>
      <c r="J1140" s="66"/>
      <c r="K1140" s="1407"/>
      <c r="L1140" s="1409"/>
      <c r="M1140" s="668"/>
    </row>
    <row r="1141" spans="1:13" s="67" customFormat="1">
      <c r="A1141" s="1406"/>
      <c r="B1141" s="1407"/>
      <c r="C1141" s="668"/>
      <c r="D1141" s="666"/>
      <c r="E1141" s="667"/>
      <c r="F1141" s="667"/>
      <c r="G1141" s="668"/>
      <c r="H1141" s="1408"/>
      <c r="I1141" s="65"/>
      <c r="J1141" s="66"/>
      <c r="K1141" s="1407"/>
      <c r="L1141" s="1409"/>
      <c r="M1141" s="668"/>
    </row>
    <row r="1142" spans="1:13" s="67" customFormat="1">
      <c r="A1142" s="1406"/>
      <c r="B1142" s="1407"/>
      <c r="C1142" s="668"/>
      <c r="D1142" s="666"/>
      <c r="E1142" s="667"/>
      <c r="F1142" s="667"/>
      <c r="G1142" s="668"/>
      <c r="H1142" s="1408"/>
      <c r="I1142" s="65"/>
      <c r="J1142" s="66"/>
      <c r="K1142" s="1407"/>
      <c r="L1142" s="1409"/>
      <c r="M1142" s="668"/>
    </row>
    <row r="1143" spans="1:13" s="67" customFormat="1">
      <c r="A1143" s="1406"/>
      <c r="B1143" s="1407"/>
      <c r="C1143" s="668"/>
      <c r="D1143" s="666"/>
      <c r="E1143" s="667"/>
      <c r="F1143" s="667"/>
      <c r="G1143" s="668"/>
      <c r="H1143" s="1408"/>
      <c r="I1143" s="65"/>
      <c r="J1143" s="66"/>
      <c r="K1143" s="1407"/>
      <c r="L1143" s="1409"/>
      <c r="M1143" s="668"/>
    </row>
    <row r="1144" spans="1:13" s="67" customFormat="1">
      <c r="A1144" s="1406"/>
      <c r="B1144" s="1407"/>
      <c r="C1144" s="668"/>
      <c r="D1144" s="666"/>
      <c r="E1144" s="667"/>
      <c r="F1144" s="667"/>
      <c r="G1144" s="668"/>
      <c r="H1144" s="1408"/>
      <c r="I1144" s="65"/>
      <c r="J1144" s="66"/>
      <c r="K1144" s="1407"/>
      <c r="L1144" s="1409"/>
      <c r="M1144" s="668"/>
    </row>
    <row r="1145" spans="1:13" s="67" customFormat="1">
      <c r="A1145" s="1406"/>
      <c r="B1145" s="1407"/>
      <c r="C1145" s="668"/>
      <c r="D1145" s="666"/>
      <c r="E1145" s="667"/>
      <c r="F1145" s="667"/>
      <c r="G1145" s="668"/>
      <c r="H1145" s="1408"/>
      <c r="I1145" s="65"/>
      <c r="J1145" s="66"/>
      <c r="K1145" s="1407"/>
      <c r="L1145" s="1409"/>
      <c r="M1145" s="668"/>
    </row>
    <row r="1146" spans="1:13" s="67" customFormat="1">
      <c r="A1146" s="1406"/>
      <c r="B1146" s="1407"/>
      <c r="C1146" s="668"/>
      <c r="D1146" s="666"/>
      <c r="E1146" s="667"/>
      <c r="F1146" s="667"/>
      <c r="G1146" s="668"/>
      <c r="H1146" s="1408"/>
      <c r="I1146" s="65"/>
      <c r="J1146" s="66"/>
      <c r="K1146" s="1407"/>
      <c r="L1146" s="1409"/>
      <c r="M1146" s="668"/>
    </row>
    <row r="1147" spans="1:13" s="67" customFormat="1">
      <c r="A1147" s="1406"/>
      <c r="B1147" s="1407"/>
      <c r="C1147" s="668"/>
      <c r="D1147" s="666"/>
      <c r="E1147" s="667"/>
      <c r="F1147" s="667"/>
      <c r="G1147" s="668"/>
      <c r="H1147" s="1408"/>
      <c r="I1147" s="65"/>
      <c r="J1147" s="66"/>
      <c r="K1147" s="1407"/>
      <c r="L1147" s="1409"/>
      <c r="M1147" s="668"/>
    </row>
    <row r="1148" spans="1:13" s="67" customFormat="1">
      <c r="A1148" s="1406"/>
      <c r="B1148" s="1407"/>
      <c r="C1148" s="668"/>
      <c r="D1148" s="666"/>
      <c r="E1148" s="667"/>
      <c r="F1148" s="667"/>
      <c r="G1148" s="668"/>
      <c r="H1148" s="1408"/>
      <c r="I1148" s="65"/>
      <c r="J1148" s="66"/>
      <c r="K1148" s="1407"/>
      <c r="L1148" s="1409"/>
      <c r="M1148" s="668"/>
    </row>
    <row r="1149" spans="1:13" s="67" customFormat="1">
      <c r="A1149" s="1406"/>
      <c r="B1149" s="1407"/>
      <c r="C1149" s="668"/>
      <c r="D1149" s="666"/>
      <c r="E1149" s="667"/>
      <c r="F1149" s="667"/>
      <c r="G1149" s="668"/>
      <c r="H1149" s="1408"/>
      <c r="I1149" s="65"/>
      <c r="J1149" s="66"/>
      <c r="K1149" s="1407"/>
      <c r="L1149" s="1409"/>
      <c r="M1149" s="668"/>
    </row>
    <row r="1150" spans="1:13" s="67" customFormat="1">
      <c r="A1150" s="1406"/>
      <c r="B1150" s="1407"/>
      <c r="C1150" s="668"/>
      <c r="D1150" s="666"/>
      <c r="E1150" s="667"/>
      <c r="F1150" s="667"/>
      <c r="G1150" s="668"/>
      <c r="H1150" s="1408"/>
      <c r="I1150" s="65"/>
      <c r="J1150" s="66"/>
      <c r="K1150" s="1407"/>
      <c r="L1150" s="1409"/>
      <c r="M1150" s="668"/>
    </row>
    <row r="1151" spans="1:13" s="67" customFormat="1">
      <c r="A1151" s="1406"/>
      <c r="B1151" s="1407"/>
      <c r="C1151" s="668"/>
      <c r="D1151" s="666"/>
      <c r="E1151" s="667"/>
      <c r="F1151" s="667"/>
      <c r="G1151" s="668"/>
      <c r="H1151" s="1408"/>
      <c r="I1151" s="65"/>
      <c r="J1151" s="66"/>
      <c r="K1151" s="1407"/>
      <c r="L1151" s="1409"/>
      <c r="M1151" s="668"/>
    </row>
    <row r="1152" spans="1:13" s="67" customFormat="1">
      <c r="A1152" s="1406"/>
      <c r="B1152" s="1407"/>
      <c r="C1152" s="668"/>
      <c r="D1152" s="666"/>
      <c r="E1152" s="667"/>
      <c r="F1152" s="667"/>
      <c r="G1152" s="668"/>
      <c r="H1152" s="1408"/>
      <c r="I1152" s="65"/>
      <c r="J1152" s="66"/>
      <c r="K1152" s="1407"/>
      <c r="L1152" s="1409"/>
      <c r="M1152" s="668"/>
    </row>
    <row r="1153" spans="1:13" s="67" customFormat="1">
      <c r="A1153" s="1406"/>
      <c r="B1153" s="1407"/>
      <c r="C1153" s="668"/>
      <c r="D1153" s="666"/>
      <c r="E1153" s="667"/>
      <c r="F1153" s="667"/>
      <c r="G1153" s="668"/>
      <c r="H1153" s="1408"/>
      <c r="I1153" s="65"/>
      <c r="J1153" s="66"/>
      <c r="K1153" s="1407"/>
      <c r="L1153" s="1409"/>
      <c r="M1153" s="668"/>
    </row>
    <row r="1154" spans="1:13" s="67" customFormat="1">
      <c r="A1154" s="1406"/>
      <c r="B1154" s="1407"/>
      <c r="C1154" s="668"/>
      <c r="D1154" s="666"/>
      <c r="E1154" s="667"/>
      <c r="F1154" s="667"/>
      <c r="G1154" s="668"/>
      <c r="H1154" s="1408"/>
      <c r="I1154" s="65"/>
      <c r="J1154" s="66"/>
      <c r="K1154" s="1407"/>
      <c r="L1154" s="1409"/>
      <c r="M1154" s="668"/>
    </row>
    <row r="1155" spans="1:13" s="67" customFormat="1">
      <c r="A1155" s="1406"/>
      <c r="B1155" s="1407"/>
      <c r="C1155" s="668"/>
      <c r="D1155" s="666"/>
      <c r="E1155" s="667"/>
      <c r="F1155" s="667"/>
      <c r="G1155" s="668"/>
      <c r="H1155" s="1408"/>
      <c r="I1155" s="65"/>
      <c r="J1155" s="66"/>
      <c r="K1155" s="1407"/>
      <c r="L1155" s="1409"/>
      <c r="M1155" s="668"/>
    </row>
    <row r="1156" spans="1:13" s="67" customFormat="1">
      <c r="A1156" s="1406"/>
      <c r="B1156" s="1407"/>
      <c r="C1156" s="668"/>
      <c r="D1156" s="666"/>
      <c r="E1156" s="667"/>
      <c r="F1156" s="667"/>
      <c r="G1156" s="668"/>
      <c r="H1156" s="1408"/>
      <c r="I1156" s="65"/>
      <c r="J1156" s="66"/>
      <c r="K1156" s="1407"/>
      <c r="L1156" s="1409"/>
      <c r="M1156" s="668"/>
    </row>
    <row r="1157" spans="1:13" s="67" customFormat="1">
      <c r="A1157" s="1406"/>
      <c r="B1157" s="1407"/>
      <c r="C1157" s="668"/>
      <c r="D1157" s="666"/>
      <c r="E1157" s="667"/>
      <c r="F1157" s="667"/>
      <c r="G1157" s="668"/>
      <c r="H1157" s="1408"/>
      <c r="I1157" s="65"/>
      <c r="J1157" s="66"/>
      <c r="K1157" s="1407"/>
      <c r="L1157" s="1409"/>
      <c r="M1157" s="668"/>
    </row>
    <row r="1158" spans="1:13" s="67" customFormat="1">
      <c r="A1158" s="1406"/>
      <c r="B1158" s="1407"/>
      <c r="C1158" s="668"/>
      <c r="D1158" s="666"/>
      <c r="E1158" s="667"/>
      <c r="F1158" s="667"/>
      <c r="G1158" s="668"/>
      <c r="H1158" s="1408"/>
      <c r="I1158" s="65"/>
      <c r="J1158" s="66"/>
      <c r="K1158" s="1407"/>
      <c r="L1158" s="1409"/>
      <c r="M1158" s="668"/>
    </row>
    <row r="1159" spans="1:13" s="67" customFormat="1">
      <c r="A1159" s="1406"/>
      <c r="B1159" s="1407"/>
      <c r="C1159" s="668"/>
      <c r="D1159" s="666"/>
      <c r="E1159" s="667"/>
      <c r="F1159" s="667"/>
      <c r="G1159" s="668"/>
      <c r="H1159" s="1408"/>
      <c r="I1159" s="65"/>
      <c r="J1159" s="66"/>
      <c r="K1159" s="1407"/>
      <c r="L1159" s="1409"/>
      <c r="M1159" s="668"/>
    </row>
    <row r="1160" spans="1:13" s="67" customFormat="1">
      <c r="A1160" s="1406"/>
      <c r="B1160" s="1407"/>
      <c r="C1160" s="668"/>
      <c r="D1160" s="666"/>
      <c r="E1160" s="667"/>
      <c r="F1160" s="667"/>
      <c r="G1160" s="668"/>
      <c r="H1160" s="1408"/>
      <c r="I1160" s="65"/>
      <c r="J1160" s="66"/>
      <c r="K1160" s="1407"/>
      <c r="L1160" s="1409"/>
      <c r="M1160" s="668"/>
    </row>
    <row r="1161" spans="1:13" s="67" customFormat="1">
      <c r="A1161" s="1406"/>
      <c r="B1161" s="1407"/>
      <c r="C1161" s="668"/>
      <c r="D1161" s="666"/>
      <c r="E1161" s="667"/>
      <c r="F1161" s="667"/>
      <c r="G1161" s="668"/>
      <c r="H1161" s="1408"/>
      <c r="I1161" s="65"/>
      <c r="J1161" s="66"/>
      <c r="K1161" s="1407"/>
      <c r="L1161" s="1409"/>
      <c r="M1161" s="668"/>
    </row>
    <row r="1162" spans="1:13" s="67" customFormat="1">
      <c r="A1162" s="1406"/>
      <c r="B1162" s="1407"/>
      <c r="C1162" s="668"/>
      <c r="D1162" s="666"/>
      <c r="E1162" s="667"/>
      <c r="F1162" s="667"/>
      <c r="G1162" s="668"/>
      <c r="H1162" s="1408"/>
      <c r="I1162" s="65"/>
      <c r="J1162" s="66"/>
      <c r="K1162" s="1407"/>
      <c r="L1162" s="1409"/>
      <c r="M1162" s="668"/>
    </row>
    <row r="1163" spans="1:13" s="67" customFormat="1">
      <c r="A1163" s="1406"/>
      <c r="B1163" s="1407"/>
      <c r="C1163" s="668"/>
      <c r="D1163" s="666"/>
      <c r="E1163" s="667"/>
      <c r="F1163" s="667"/>
      <c r="G1163" s="668"/>
      <c r="H1163" s="1408"/>
      <c r="I1163" s="65"/>
      <c r="J1163" s="66"/>
      <c r="K1163" s="1407"/>
      <c r="L1163" s="1409"/>
      <c r="M1163" s="668"/>
    </row>
    <row r="1164" spans="1:13" s="67" customFormat="1">
      <c r="A1164" s="1406"/>
      <c r="B1164" s="1407"/>
      <c r="C1164" s="668"/>
      <c r="D1164" s="666"/>
      <c r="E1164" s="667"/>
      <c r="F1164" s="667"/>
      <c r="G1164" s="668"/>
      <c r="H1164" s="1408"/>
      <c r="I1164" s="65"/>
      <c r="J1164" s="66"/>
      <c r="K1164" s="1407"/>
      <c r="L1164" s="1409"/>
      <c r="M1164" s="668"/>
    </row>
    <row r="1165" spans="1:13" s="67" customFormat="1">
      <c r="A1165" s="1406"/>
      <c r="B1165" s="1407"/>
      <c r="C1165" s="668"/>
      <c r="D1165" s="666"/>
      <c r="E1165" s="667"/>
      <c r="F1165" s="667"/>
      <c r="G1165" s="668"/>
      <c r="H1165" s="1408"/>
      <c r="I1165" s="65"/>
      <c r="J1165" s="66"/>
      <c r="K1165" s="1407"/>
      <c r="L1165" s="1409"/>
      <c r="M1165" s="668"/>
    </row>
    <row r="1166" spans="1:13" s="67" customFormat="1">
      <c r="A1166" s="1406"/>
      <c r="B1166" s="1407"/>
      <c r="C1166" s="668"/>
      <c r="D1166" s="666"/>
      <c r="E1166" s="667"/>
      <c r="F1166" s="667"/>
      <c r="G1166" s="668"/>
      <c r="H1166" s="1408"/>
      <c r="I1166" s="65"/>
      <c r="J1166" s="66"/>
      <c r="K1166" s="1407"/>
      <c r="L1166" s="1409"/>
      <c r="M1166" s="668"/>
    </row>
    <row r="1167" spans="1:13" s="67" customFormat="1">
      <c r="A1167" s="1406"/>
      <c r="B1167" s="1407"/>
      <c r="C1167" s="668"/>
      <c r="D1167" s="666"/>
      <c r="E1167" s="667"/>
      <c r="F1167" s="667"/>
      <c r="G1167" s="668"/>
      <c r="H1167" s="1408"/>
      <c r="I1167" s="65"/>
      <c r="J1167" s="66"/>
      <c r="K1167" s="1407"/>
      <c r="L1167" s="1409"/>
      <c r="M1167" s="668"/>
    </row>
    <row r="1168" spans="1:13" s="67" customFormat="1">
      <c r="A1168" s="1406"/>
      <c r="B1168" s="1407"/>
      <c r="C1168" s="668"/>
      <c r="D1168" s="666"/>
      <c r="E1168" s="667"/>
      <c r="F1168" s="667"/>
      <c r="G1168" s="668"/>
      <c r="H1168" s="1408"/>
      <c r="I1168" s="65"/>
      <c r="J1168" s="66"/>
      <c r="K1168" s="1407"/>
      <c r="L1168" s="1409"/>
      <c r="M1168" s="668"/>
    </row>
    <row r="1169" spans="1:13" s="67" customFormat="1">
      <c r="A1169" s="1406"/>
      <c r="B1169" s="1407"/>
      <c r="C1169" s="668"/>
      <c r="D1169" s="666"/>
      <c r="E1169" s="667"/>
      <c r="F1169" s="667"/>
      <c r="G1169" s="668"/>
      <c r="H1169" s="1408"/>
      <c r="I1169" s="65"/>
      <c r="J1169" s="66"/>
      <c r="K1169" s="1407"/>
      <c r="L1169" s="1409"/>
      <c r="M1169" s="668"/>
    </row>
    <row r="1170" spans="1:13" s="67" customFormat="1">
      <c r="A1170" s="1406"/>
      <c r="B1170" s="1407"/>
      <c r="C1170" s="668"/>
      <c r="D1170" s="666"/>
      <c r="E1170" s="667"/>
      <c r="F1170" s="667"/>
      <c r="G1170" s="668"/>
      <c r="H1170" s="1408"/>
      <c r="I1170" s="65"/>
      <c r="J1170" s="66"/>
      <c r="K1170" s="1407"/>
      <c r="L1170" s="1409"/>
      <c r="M1170" s="668"/>
    </row>
    <row r="1171" spans="1:13" s="67" customFormat="1">
      <c r="A1171" s="1406"/>
      <c r="B1171" s="1407"/>
      <c r="C1171" s="668"/>
      <c r="D1171" s="666"/>
      <c r="E1171" s="667"/>
      <c r="F1171" s="667"/>
      <c r="G1171" s="668"/>
      <c r="H1171" s="1408"/>
      <c r="I1171" s="65"/>
      <c r="J1171" s="66"/>
      <c r="K1171" s="1407"/>
      <c r="L1171" s="1409"/>
      <c r="M1171" s="668"/>
    </row>
    <row r="1172" spans="1:13" s="67" customFormat="1">
      <c r="A1172" s="1406"/>
      <c r="B1172" s="1407"/>
      <c r="C1172" s="668"/>
      <c r="D1172" s="666"/>
      <c r="E1172" s="667"/>
      <c r="F1172" s="667"/>
      <c r="G1172" s="668"/>
      <c r="H1172" s="1408"/>
      <c r="I1172" s="65"/>
      <c r="J1172" s="66"/>
      <c r="K1172" s="1407"/>
      <c r="L1172" s="1409"/>
      <c r="M1172" s="668"/>
    </row>
    <row r="1173" spans="1:13" s="67" customFormat="1">
      <c r="A1173" s="1406"/>
      <c r="B1173" s="1407"/>
      <c r="C1173" s="668"/>
      <c r="D1173" s="666"/>
      <c r="E1173" s="667"/>
      <c r="F1173" s="667"/>
      <c r="G1173" s="668"/>
      <c r="H1173" s="1408"/>
      <c r="I1173" s="65"/>
      <c r="J1173" s="66"/>
      <c r="K1173" s="1407"/>
      <c r="L1173" s="1409"/>
      <c r="M1173" s="668"/>
    </row>
    <row r="1174" spans="1:13" s="67" customFormat="1">
      <c r="A1174" s="1406"/>
      <c r="B1174" s="1407"/>
      <c r="C1174" s="668"/>
      <c r="D1174" s="666"/>
      <c r="E1174" s="667"/>
      <c r="F1174" s="667"/>
      <c r="G1174" s="668"/>
      <c r="H1174" s="1408"/>
      <c r="I1174" s="65"/>
      <c r="J1174" s="66"/>
      <c r="K1174" s="1407"/>
      <c r="L1174" s="1409"/>
      <c r="M1174" s="668"/>
    </row>
    <row r="1175" spans="1:13" s="67" customFormat="1">
      <c r="A1175" s="1406"/>
      <c r="B1175" s="1407"/>
      <c r="C1175" s="668"/>
      <c r="D1175" s="666"/>
      <c r="E1175" s="667"/>
      <c r="F1175" s="667"/>
      <c r="G1175" s="668"/>
      <c r="H1175" s="1408"/>
      <c r="I1175" s="65"/>
      <c r="J1175" s="66"/>
      <c r="K1175" s="1407"/>
      <c r="L1175" s="1409"/>
      <c r="M1175" s="668"/>
    </row>
    <row r="1176" spans="1:13" s="67" customFormat="1">
      <c r="A1176" s="1406"/>
      <c r="B1176" s="1407"/>
      <c r="C1176" s="668"/>
      <c r="D1176" s="666"/>
      <c r="E1176" s="667"/>
      <c r="F1176" s="667"/>
      <c r="G1176" s="668"/>
      <c r="H1176" s="1408"/>
      <c r="I1176" s="65"/>
      <c r="J1176" s="66"/>
      <c r="K1176" s="1407"/>
      <c r="L1176" s="1409"/>
      <c r="M1176" s="668"/>
    </row>
    <row r="1177" spans="1:13" s="67" customFormat="1">
      <c r="A1177" s="1406"/>
      <c r="B1177" s="1407"/>
      <c r="C1177" s="668"/>
      <c r="D1177" s="666"/>
      <c r="E1177" s="667"/>
      <c r="F1177" s="667"/>
      <c r="G1177" s="668"/>
      <c r="H1177" s="1408"/>
      <c r="I1177" s="65"/>
      <c r="J1177" s="66"/>
      <c r="K1177" s="1407"/>
      <c r="L1177" s="1409"/>
      <c r="M1177" s="668"/>
    </row>
    <row r="1178" spans="1:13" s="67" customFormat="1">
      <c r="A1178" s="1406"/>
      <c r="B1178" s="1407"/>
      <c r="C1178" s="668"/>
      <c r="D1178" s="666"/>
      <c r="E1178" s="667"/>
      <c r="F1178" s="667"/>
      <c r="G1178" s="668"/>
      <c r="H1178" s="1408"/>
      <c r="I1178" s="65"/>
      <c r="J1178" s="66"/>
      <c r="K1178" s="1407"/>
      <c r="L1178" s="1409"/>
      <c r="M1178" s="668"/>
    </row>
    <row r="1179" spans="1:13" s="67" customFormat="1">
      <c r="A1179" s="1406"/>
      <c r="B1179" s="1407"/>
      <c r="C1179" s="668"/>
      <c r="D1179" s="666"/>
      <c r="E1179" s="667"/>
      <c r="F1179" s="667"/>
      <c r="G1179" s="668"/>
      <c r="H1179" s="1408"/>
      <c r="I1179" s="65"/>
      <c r="J1179" s="66"/>
      <c r="K1179" s="1407"/>
      <c r="L1179" s="1409"/>
      <c r="M1179" s="668"/>
    </row>
    <row r="1180" spans="1:13" s="67" customFormat="1">
      <c r="A1180" s="1406"/>
      <c r="B1180" s="1407"/>
      <c r="C1180" s="668"/>
      <c r="D1180" s="666"/>
      <c r="E1180" s="667"/>
      <c r="F1180" s="667"/>
      <c r="G1180" s="668"/>
      <c r="H1180" s="1408"/>
      <c r="I1180" s="65"/>
      <c r="J1180" s="66"/>
      <c r="K1180" s="1407"/>
      <c r="L1180" s="1409"/>
      <c r="M1180" s="668"/>
    </row>
    <row r="1181" spans="1:13" s="67" customFormat="1">
      <c r="A1181" s="1406"/>
      <c r="B1181" s="1407"/>
      <c r="C1181" s="668"/>
      <c r="D1181" s="666"/>
      <c r="E1181" s="667"/>
      <c r="F1181" s="667"/>
      <c r="G1181" s="668"/>
      <c r="H1181" s="1408"/>
      <c r="I1181" s="65"/>
      <c r="J1181" s="66"/>
      <c r="K1181" s="1407"/>
      <c r="L1181" s="1409"/>
      <c r="M1181" s="668"/>
    </row>
    <row r="1182" spans="1:13" s="67" customFormat="1">
      <c r="A1182" s="1406"/>
      <c r="B1182" s="1407"/>
      <c r="C1182" s="668"/>
      <c r="D1182" s="666"/>
      <c r="E1182" s="667"/>
      <c r="F1182" s="667"/>
      <c r="G1182" s="668"/>
      <c r="H1182" s="1408"/>
      <c r="I1182" s="65"/>
      <c r="J1182" s="66"/>
      <c r="K1182" s="1407"/>
      <c r="L1182" s="1409"/>
      <c r="M1182" s="668"/>
    </row>
    <row r="1183" spans="1:13" s="67" customFormat="1">
      <c r="A1183" s="1406"/>
      <c r="B1183" s="1407"/>
      <c r="C1183" s="668"/>
      <c r="D1183" s="666"/>
      <c r="E1183" s="667"/>
      <c r="F1183" s="667"/>
      <c r="G1183" s="668"/>
      <c r="H1183" s="1408"/>
      <c r="I1183" s="65"/>
      <c r="J1183" s="66"/>
      <c r="K1183" s="1407"/>
      <c r="L1183" s="1409"/>
      <c r="M1183" s="668"/>
    </row>
    <row r="1184" spans="1:13" s="67" customFormat="1">
      <c r="A1184" s="1406"/>
      <c r="B1184" s="1407"/>
      <c r="C1184" s="668"/>
      <c r="D1184" s="666"/>
      <c r="E1184" s="667"/>
      <c r="F1184" s="667"/>
      <c r="G1184" s="668"/>
      <c r="H1184" s="1408"/>
      <c r="I1184" s="65"/>
      <c r="J1184" s="66"/>
      <c r="K1184" s="1407"/>
      <c r="L1184" s="1409"/>
      <c r="M1184" s="668"/>
    </row>
    <row r="1185" spans="1:13" s="67" customFormat="1">
      <c r="A1185" s="1406"/>
      <c r="B1185" s="1407"/>
      <c r="C1185" s="668"/>
      <c r="D1185" s="666"/>
      <c r="E1185" s="667"/>
      <c r="F1185" s="667"/>
      <c r="G1185" s="668"/>
      <c r="H1185" s="1408"/>
      <c r="I1185" s="65"/>
      <c r="J1185" s="66"/>
      <c r="K1185" s="1407"/>
      <c r="L1185" s="1409"/>
      <c r="M1185" s="668"/>
    </row>
    <row r="1186" spans="1:13" s="67" customFormat="1">
      <c r="A1186" s="1406"/>
      <c r="B1186" s="1407"/>
      <c r="C1186" s="668"/>
      <c r="D1186" s="666"/>
      <c r="E1186" s="667"/>
      <c r="F1186" s="667"/>
      <c r="G1186" s="668"/>
      <c r="H1186" s="1408"/>
      <c r="I1186" s="65"/>
      <c r="J1186" s="66"/>
      <c r="K1186" s="1407"/>
      <c r="L1186" s="1409"/>
      <c r="M1186" s="668"/>
    </row>
    <row r="1187" spans="1:13" s="67" customFormat="1">
      <c r="A1187" s="1406"/>
      <c r="B1187" s="1407"/>
      <c r="C1187" s="668"/>
      <c r="D1187" s="666"/>
      <c r="E1187" s="667"/>
      <c r="F1187" s="667"/>
      <c r="G1187" s="668"/>
      <c r="H1187" s="1408"/>
      <c r="I1187" s="65"/>
      <c r="J1187" s="66"/>
      <c r="K1187" s="1407"/>
      <c r="L1187" s="1409"/>
      <c r="M1187" s="668"/>
    </row>
    <row r="1188" spans="1:13" s="67" customFormat="1">
      <c r="A1188" s="1406"/>
      <c r="B1188" s="1407"/>
      <c r="C1188" s="668"/>
      <c r="D1188" s="666"/>
      <c r="E1188" s="667"/>
      <c r="F1188" s="667"/>
      <c r="G1188" s="668"/>
      <c r="H1188" s="1408"/>
      <c r="I1188" s="65"/>
      <c r="J1188" s="66"/>
      <c r="K1188" s="1407"/>
      <c r="L1188" s="1409"/>
      <c r="M1188" s="668"/>
    </row>
    <row r="1189" spans="1:13" s="67" customFormat="1">
      <c r="A1189" s="1406"/>
      <c r="B1189" s="1407"/>
      <c r="C1189" s="668"/>
      <c r="D1189" s="666"/>
      <c r="E1189" s="667"/>
      <c r="F1189" s="667"/>
      <c r="G1189" s="668"/>
      <c r="H1189" s="1408"/>
      <c r="I1189" s="65"/>
      <c r="J1189" s="66"/>
      <c r="K1189" s="1407"/>
      <c r="L1189" s="1409"/>
      <c r="M1189" s="668"/>
    </row>
    <row r="1190" spans="1:13" s="67" customFormat="1">
      <c r="A1190" s="1406"/>
      <c r="B1190" s="1407"/>
      <c r="C1190" s="668"/>
      <c r="D1190" s="666"/>
      <c r="E1190" s="667"/>
      <c r="F1190" s="667"/>
      <c r="G1190" s="668"/>
      <c r="H1190" s="1408"/>
      <c r="I1190" s="65"/>
      <c r="J1190" s="66"/>
      <c r="K1190" s="1407"/>
      <c r="L1190" s="1409"/>
      <c r="M1190" s="668"/>
    </row>
    <row r="1191" spans="1:13" s="67" customFormat="1">
      <c r="A1191" s="1406"/>
      <c r="B1191" s="1407"/>
      <c r="C1191" s="668"/>
      <c r="D1191" s="666"/>
      <c r="E1191" s="667"/>
      <c r="F1191" s="667"/>
      <c r="G1191" s="668"/>
      <c r="H1191" s="1408"/>
      <c r="I1191" s="65"/>
      <c r="J1191" s="66"/>
      <c r="K1191" s="1407"/>
      <c r="L1191" s="1409"/>
      <c r="M1191" s="668"/>
    </row>
    <row r="1192" spans="1:13" s="67" customFormat="1">
      <c r="A1192" s="1406"/>
      <c r="B1192" s="1407"/>
      <c r="C1192" s="668"/>
      <c r="D1192" s="666"/>
      <c r="E1192" s="667"/>
      <c r="F1192" s="667"/>
      <c r="G1192" s="668"/>
      <c r="H1192" s="1408"/>
      <c r="I1192" s="65"/>
      <c r="J1192" s="66"/>
      <c r="K1192" s="1407"/>
      <c r="L1192" s="1409"/>
      <c r="M1192" s="668"/>
    </row>
    <row r="1193" spans="1:13" s="67" customFormat="1">
      <c r="A1193" s="1406"/>
      <c r="B1193" s="1407"/>
      <c r="C1193" s="668"/>
      <c r="D1193" s="666"/>
      <c r="E1193" s="667"/>
      <c r="F1193" s="667"/>
      <c r="G1193" s="668"/>
      <c r="H1193" s="1408"/>
      <c r="I1193" s="65"/>
      <c r="J1193" s="66"/>
      <c r="K1193" s="1407"/>
      <c r="L1193" s="1409"/>
      <c r="M1193" s="668"/>
    </row>
    <row r="1194" spans="1:13" s="67" customFormat="1">
      <c r="A1194" s="1406"/>
      <c r="B1194" s="1407"/>
      <c r="C1194" s="668"/>
      <c r="D1194" s="666"/>
      <c r="E1194" s="667"/>
      <c r="F1194" s="667"/>
      <c r="G1194" s="668"/>
      <c r="H1194" s="1408"/>
      <c r="I1194" s="65"/>
      <c r="J1194" s="66"/>
      <c r="K1194" s="1407"/>
      <c r="L1194" s="1409"/>
      <c r="M1194" s="668"/>
    </row>
    <row r="1195" spans="1:13" s="67" customFormat="1">
      <c r="A1195" s="1406"/>
      <c r="B1195" s="1407"/>
      <c r="C1195" s="668"/>
      <c r="D1195" s="666"/>
      <c r="E1195" s="667"/>
      <c r="F1195" s="667"/>
      <c r="G1195" s="668"/>
      <c r="H1195" s="1408"/>
      <c r="I1195" s="65"/>
      <c r="J1195" s="66"/>
      <c r="K1195" s="1407"/>
      <c r="L1195" s="1409"/>
      <c r="M1195" s="668"/>
    </row>
    <row r="1196" spans="1:13" s="67" customFormat="1">
      <c r="A1196" s="1406"/>
      <c r="B1196" s="1407"/>
      <c r="C1196" s="668"/>
      <c r="D1196" s="666"/>
      <c r="E1196" s="667"/>
      <c r="F1196" s="667"/>
      <c r="G1196" s="668"/>
      <c r="H1196" s="1408"/>
      <c r="I1196" s="65"/>
      <c r="J1196" s="66"/>
      <c r="K1196" s="1407"/>
      <c r="L1196" s="1409"/>
      <c r="M1196" s="668"/>
    </row>
    <row r="1197" spans="1:13" s="67" customFormat="1">
      <c r="A1197" s="1406"/>
      <c r="B1197" s="1407"/>
      <c r="C1197" s="668"/>
      <c r="D1197" s="666"/>
      <c r="E1197" s="667"/>
      <c r="F1197" s="667"/>
      <c r="G1197" s="668"/>
      <c r="H1197" s="1408"/>
      <c r="I1197" s="65"/>
      <c r="J1197" s="66"/>
      <c r="K1197" s="1407"/>
      <c r="L1197" s="1409"/>
      <c r="M1197" s="668"/>
    </row>
    <row r="1198" spans="1:13" s="67" customFormat="1">
      <c r="A1198" s="1406"/>
      <c r="B1198" s="1407"/>
      <c r="C1198" s="668"/>
      <c r="D1198" s="666"/>
      <c r="E1198" s="667"/>
      <c r="F1198" s="667"/>
      <c r="G1198" s="668"/>
      <c r="H1198" s="1408"/>
      <c r="I1198" s="65"/>
      <c r="J1198" s="66"/>
      <c r="K1198" s="1407"/>
      <c r="L1198" s="1409"/>
      <c r="M1198" s="668"/>
    </row>
    <row r="1199" spans="1:13" s="67" customFormat="1">
      <c r="A1199" s="1406"/>
      <c r="B1199" s="1407"/>
      <c r="C1199" s="668"/>
      <c r="D1199" s="666"/>
      <c r="E1199" s="667"/>
      <c r="F1199" s="667"/>
      <c r="G1199" s="668"/>
      <c r="H1199" s="1408"/>
      <c r="I1199" s="65"/>
      <c r="J1199" s="66"/>
      <c r="K1199" s="1407"/>
      <c r="L1199" s="1409"/>
      <c r="M1199" s="668"/>
    </row>
    <row r="1200" spans="1:13" s="67" customFormat="1">
      <c r="A1200" s="1406"/>
      <c r="B1200" s="1407"/>
      <c r="C1200" s="668"/>
      <c r="D1200" s="666"/>
      <c r="E1200" s="667"/>
      <c r="F1200" s="667"/>
      <c r="G1200" s="668"/>
      <c r="H1200" s="1408"/>
      <c r="I1200" s="65"/>
      <c r="J1200" s="66"/>
      <c r="K1200" s="1407"/>
      <c r="L1200" s="1409"/>
      <c r="M1200" s="668"/>
    </row>
    <row r="1201" spans="1:13" s="67" customFormat="1">
      <c r="A1201" s="1406"/>
      <c r="B1201" s="1407"/>
      <c r="C1201" s="668"/>
      <c r="D1201" s="666"/>
      <c r="E1201" s="667"/>
      <c r="F1201" s="667"/>
      <c r="G1201" s="668"/>
      <c r="H1201" s="1408"/>
      <c r="I1201" s="65"/>
      <c r="J1201" s="66"/>
      <c r="K1201" s="1407"/>
      <c r="L1201" s="1409"/>
      <c r="M1201" s="668"/>
    </row>
    <row r="1202" spans="1:13" s="67" customFormat="1">
      <c r="A1202" s="1406"/>
      <c r="B1202" s="1407"/>
      <c r="C1202" s="668"/>
      <c r="D1202" s="666"/>
      <c r="E1202" s="667"/>
      <c r="F1202" s="667"/>
      <c r="G1202" s="668"/>
      <c r="H1202" s="1408"/>
      <c r="I1202" s="65"/>
      <c r="J1202" s="66"/>
      <c r="K1202" s="1407"/>
      <c r="L1202" s="1409"/>
      <c r="M1202" s="668"/>
    </row>
    <row r="1203" spans="1:13" s="67" customFormat="1">
      <c r="A1203" s="1406"/>
      <c r="B1203" s="1407"/>
      <c r="C1203" s="668"/>
      <c r="D1203" s="666"/>
      <c r="E1203" s="667"/>
      <c r="F1203" s="667"/>
      <c r="G1203" s="668"/>
      <c r="H1203" s="1408"/>
      <c r="I1203" s="65"/>
      <c r="J1203" s="66"/>
      <c r="K1203" s="1407"/>
      <c r="L1203" s="1409"/>
      <c r="M1203" s="668"/>
    </row>
    <row r="1204" spans="1:13" s="67" customFormat="1">
      <c r="A1204" s="1406"/>
      <c r="B1204" s="1407"/>
      <c r="C1204" s="668"/>
      <c r="D1204" s="666"/>
      <c r="E1204" s="667"/>
      <c r="F1204" s="667"/>
      <c r="G1204" s="668"/>
      <c r="H1204" s="1408"/>
      <c r="I1204" s="65"/>
      <c r="J1204" s="66"/>
      <c r="K1204" s="1407"/>
      <c r="L1204" s="1409"/>
      <c r="M1204" s="668"/>
    </row>
    <row r="1205" spans="1:13" s="67" customFormat="1">
      <c r="A1205" s="1406"/>
      <c r="B1205" s="1407"/>
      <c r="C1205" s="668"/>
      <c r="D1205" s="666"/>
      <c r="E1205" s="667"/>
      <c r="F1205" s="667"/>
      <c r="G1205" s="668"/>
      <c r="H1205" s="1408"/>
      <c r="I1205" s="65"/>
      <c r="J1205" s="66"/>
      <c r="K1205" s="1407"/>
      <c r="L1205" s="1409"/>
      <c r="M1205" s="668"/>
    </row>
    <row r="1206" spans="1:13" s="67" customFormat="1">
      <c r="A1206" s="1406"/>
      <c r="B1206" s="1407"/>
      <c r="C1206" s="668"/>
      <c r="D1206" s="666"/>
      <c r="E1206" s="667"/>
      <c r="F1206" s="667"/>
      <c r="G1206" s="668"/>
      <c r="H1206" s="1408"/>
      <c r="I1206" s="65"/>
      <c r="J1206" s="66"/>
      <c r="K1206" s="1407"/>
      <c r="L1206" s="1409"/>
      <c r="M1206" s="668"/>
    </row>
    <row r="1207" spans="1:13" s="67" customFormat="1">
      <c r="A1207" s="1406"/>
      <c r="B1207" s="1407"/>
      <c r="C1207" s="668"/>
      <c r="D1207" s="666"/>
      <c r="E1207" s="667"/>
      <c r="F1207" s="667"/>
      <c r="G1207" s="668"/>
      <c r="H1207" s="1408"/>
      <c r="I1207" s="65"/>
      <c r="J1207" s="66"/>
      <c r="K1207" s="1407"/>
      <c r="L1207" s="1409"/>
      <c r="M1207" s="668"/>
    </row>
    <row r="1208" spans="1:13" s="67" customFormat="1">
      <c r="A1208" s="1406"/>
      <c r="B1208" s="1407"/>
      <c r="C1208" s="668"/>
      <c r="D1208" s="666"/>
      <c r="E1208" s="667"/>
      <c r="F1208" s="667"/>
      <c r="G1208" s="668"/>
      <c r="H1208" s="1408"/>
      <c r="I1208" s="65"/>
      <c r="J1208" s="66"/>
      <c r="K1208" s="1407"/>
      <c r="L1208" s="1409"/>
      <c r="M1208" s="668"/>
    </row>
    <row r="1209" spans="1:13" s="67" customFormat="1">
      <c r="A1209" s="1406"/>
      <c r="B1209" s="1407"/>
      <c r="C1209" s="668"/>
      <c r="D1209" s="666"/>
      <c r="E1209" s="667"/>
      <c r="F1209" s="667"/>
      <c r="G1209" s="668"/>
      <c r="H1209" s="1408"/>
      <c r="I1209" s="65"/>
      <c r="J1209" s="66"/>
      <c r="K1209" s="1407"/>
      <c r="L1209" s="1409"/>
      <c r="M1209" s="668"/>
    </row>
    <row r="1210" spans="1:13" s="67" customFormat="1">
      <c r="A1210" s="1406"/>
      <c r="B1210" s="1407"/>
      <c r="C1210" s="668"/>
      <c r="D1210" s="666"/>
      <c r="E1210" s="667"/>
      <c r="F1210" s="667"/>
      <c r="G1210" s="668"/>
      <c r="H1210" s="1408"/>
      <c r="I1210" s="65"/>
      <c r="J1210" s="66"/>
      <c r="K1210" s="1407"/>
      <c r="L1210" s="1409"/>
      <c r="M1210" s="668"/>
    </row>
    <row r="1211" spans="1:13" s="67" customFormat="1">
      <c r="A1211" s="1406"/>
      <c r="B1211" s="1407"/>
      <c r="C1211" s="668"/>
      <c r="D1211" s="666"/>
      <c r="E1211" s="667"/>
      <c r="F1211" s="667"/>
      <c r="G1211" s="668"/>
      <c r="H1211" s="1408"/>
      <c r="I1211" s="65"/>
      <c r="J1211" s="66"/>
      <c r="K1211" s="1407"/>
      <c r="L1211" s="1409"/>
      <c r="M1211" s="668"/>
    </row>
    <row r="1212" spans="1:13" s="67" customFormat="1">
      <c r="A1212" s="1406"/>
      <c r="B1212" s="1407"/>
      <c r="C1212" s="668"/>
      <c r="D1212" s="666"/>
      <c r="E1212" s="667"/>
      <c r="F1212" s="667"/>
      <c r="G1212" s="668"/>
      <c r="H1212" s="1408"/>
      <c r="I1212" s="65"/>
      <c r="J1212" s="66"/>
      <c r="K1212" s="1407"/>
      <c r="L1212" s="1409"/>
      <c r="M1212" s="668"/>
    </row>
    <row r="1213" spans="1:13" s="67" customFormat="1">
      <c r="A1213" s="1406"/>
      <c r="B1213" s="1407"/>
      <c r="C1213" s="668"/>
      <c r="D1213" s="666"/>
      <c r="E1213" s="667"/>
      <c r="F1213" s="667"/>
      <c r="G1213" s="668"/>
      <c r="H1213" s="1408"/>
      <c r="I1213" s="65"/>
      <c r="J1213" s="66"/>
      <c r="K1213" s="1407"/>
      <c r="L1213" s="1409"/>
      <c r="M1213" s="668"/>
    </row>
    <row r="1214" spans="1:13" s="67" customFormat="1">
      <c r="A1214" s="1406"/>
      <c r="B1214" s="1407"/>
      <c r="C1214" s="668"/>
      <c r="D1214" s="666"/>
      <c r="E1214" s="667"/>
      <c r="F1214" s="667"/>
      <c r="G1214" s="668"/>
      <c r="H1214" s="1408"/>
      <c r="I1214" s="65"/>
      <c r="J1214" s="66"/>
      <c r="K1214" s="1407"/>
      <c r="L1214" s="1409"/>
      <c r="M1214" s="668"/>
    </row>
    <row r="1215" spans="1:13" s="67" customFormat="1">
      <c r="A1215" s="1406"/>
      <c r="B1215" s="1407"/>
      <c r="C1215" s="668"/>
      <c r="D1215" s="666"/>
      <c r="E1215" s="667"/>
      <c r="F1215" s="667"/>
      <c r="G1215" s="668"/>
      <c r="H1215" s="1408"/>
      <c r="I1215" s="65"/>
      <c r="J1215" s="66"/>
      <c r="K1215" s="1407"/>
      <c r="L1215" s="1409"/>
      <c r="M1215" s="668"/>
    </row>
    <row r="1216" spans="1:13" s="67" customFormat="1">
      <c r="A1216" s="1406"/>
      <c r="B1216" s="1407"/>
      <c r="C1216" s="668"/>
      <c r="D1216" s="666"/>
      <c r="E1216" s="667"/>
      <c r="F1216" s="667"/>
      <c r="G1216" s="668"/>
      <c r="H1216" s="1408"/>
      <c r="I1216" s="65"/>
      <c r="J1216" s="66"/>
      <c r="K1216" s="1407"/>
      <c r="L1216" s="1409"/>
      <c r="M1216" s="668"/>
    </row>
    <row r="1217" spans="1:13" s="67" customFormat="1">
      <c r="A1217" s="1406"/>
      <c r="B1217" s="1407"/>
      <c r="C1217" s="668"/>
      <c r="D1217" s="666"/>
      <c r="E1217" s="667"/>
      <c r="F1217" s="667"/>
      <c r="G1217" s="668"/>
      <c r="H1217" s="1408"/>
      <c r="I1217" s="65"/>
      <c r="J1217" s="66"/>
      <c r="K1217" s="1407"/>
      <c r="L1217" s="1409"/>
      <c r="M1217" s="668"/>
    </row>
    <row r="1218" spans="1:13" s="67" customFormat="1">
      <c r="A1218" s="1406"/>
      <c r="B1218" s="1407"/>
      <c r="C1218" s="668"/>
      <c r="D1218" s="666"/>
      <c r="E1218" s="667"/>
      <c r="F1218" s="667"/>
      <c r="G1218" s="668"/>
      <c r="H1218" s="1408"/>
      <c r="I1218" s="65"/>
      <c r="J1218" s="66"/>
      <c r="K1218" s="1407"/>
      <c r="L1218" s="1409"/>
      <c r="M1218" s="668"/>
    </row>
    <row r="1219" spans="1:13" s="67" customFormat="1">
      <c r="A1219" s="1406"/>
      <c r="B1219" s="1407"/>
      <c r="C1219" s="668"/>
      <c r="D1219" s="666"/>
      <c r="E1219" s="667"/>
      <c r="F1219" s="667"/>
      <c r="G1219" s="668"/>
      <c r="H1219" s="1408"/>
      <c r="I1219" s="65"/>
      <c r="J1219" s="66"/>
      <c r="K1219" s="1407"/>
      <c r="L1219" s="1409"/>
      <c r="M1219" s="668"/>
    </row>
    <row r="1220" spans="1:13" s="67" customFormat="1">
      <c r="A1220" s="1406"/>
      <c r="B1220" s="1407"/>
      <c r="C1220" s="668"/>
      <c r="D1220" s="666"/>
      <c r="E1220" s="667"/>
      <c r="F1220" s="667"/>
      <c r="G1220" s="668"/>
      <c r="H1220" s="1408"/>
      <c r="I1220" s="65"/>
      <c r="J1220" s="66"/>
      <c r="K1220" s="1407"/>
      <c r="L1220" s="1409"/>
      <c r="M1220" s="668"/>
    </row>
    <row r="1221" spans="1:13" s="67" customFormat="1">
      <c r="A1221" s="1406"/>
      <c r="B1221" s="1407"/>
      <c r="C1221" s="668"/>
      <c r="D1221" s="666"/>
      <c r="E1221" s="667"/>
      <c r="F1221" s="667"/>
      <c r="G1221" s="668"/>
      <c r="H1221" s="1408"/>
      <c r="I1221" s="65"/>
      <c r="J1221" s="66"/>
      <c r="K1221" s="1407"/>
      <c r="L1221" s="1409"/>
      <c r="M1221" s="668"/>
    </row>
    <row r="1222" spans="1:13" s="67" customFormat="1">
      <c r="A1222" s="1406"/>
      <c r="B1222" s="1407"/>
      <c r="C1222" s="668"/>
      <c r="D1222" s="666"/>
      <c r="E1222" s="667"/>
      <c r="F1222" s="667"/>
      <c r="G1222" s="668"/>
      <c r="H1222" s="1408"/>
      <c r="I1222" s="65"/>
      <c r="J1222" s="66"/>
      <c r="K1222" s="1407"/>
      <c r="L1222" s="1409"/>
      <c r="M1222" s="668"/>
    </row>
    <row r="1223" spans="1:13" s="67" customFormat="1">
      <c r="A1223" s="1406"/>
      <c r="B1223" s="1407"/>
      <c r="C1223" s="668"/>
      <c r="D1223" s="666"/>
      <c r="E1223" s="667"/>
      <c r="F1223" s="667"/>
      <c r="G1223" s="668"/>
      <c r="H1223" s="1408"/>
      <c r="I1223" s="65"/>
      <c r="J1223" s="66"/>
      <c r="K1223" s="1407"/>
      <c r="L1223" s="1409"/>
      <c r="M1223" s="668"/>
    </row>
    <row r="1224" spans="1:13" s="67" customFormat="1">
      <c r="A1224" s="1406"/>
      <c r="B1224" s="1407"/>
      <c r="C1224" s="668"/>
      <c r="D1224" s="666"/>
      <c r="E1224" s="667"/>
      <c r="F1224" s="667"/>
      <c r="G1224" s="668"/>
      <c r="H1224" s="1408"/>
      <c r="I1224" s="65"/>
      <c r="J1224" s="66"/>
      <c r="K1224" s="1407"/>
      <c r="L1224" s="1409"/>
      <c r="M1224" s="668"/>
    </row>
    <row r="1225" spans="1:13" s="67" customFormat="1">
      <c r="A1225" s="1406"/>
      <c r="B1225" s="1407"/>
      <c r="C1225" s="668"/>
      <c r="D1225" s="666"/>
      <c r="E1225" s="667"/>
      <c r="F1225" s="667"/>
      <c r="G1225" s="668"/>
      <c r="H1225" s="1408"/>
      <c r="I1225" s="65"/>
      <c r="J1225" s="66"/>
      <c r="K1225" s="1407"/>
      <c r="L1225" s="1409"/>
      <c r="M1225" s="668"/>
    </row>
    <row r="1226" spans="1:13" s="67" customFormat="1">
      <c r="A1226" s="1406"/>
      <c r="B1226" s="1407"/>
      <c r="C1226" s="668"/>
      <c r="D1226" s="666"/>
      <c r="E1226" s="667"/>
      <c r="F1226" s="667"/>
      <c r="G1226" s="668"/>
      <c r="H1226" s="1408"/>
      <c r="I1226" s="65"/>
      <c r="J1226" s="66"/>
      <c r="K1226" s="1407"/>
      <c r="L1226" s="1409"/>
      <c r="M1226" s="668"/>
    </row>
    <row r="1227" spans="1:13" s="67" customFormat="1">
      <c r="A1227" s="1406"/>
      <c r="B1227" s="1407"/>
      <c r="C1227" s="668"/>
      <c r="D1227" s="666"/>
      <c r="E1227" s="667"/>
      <c r="F1227" s="667"/>
      <c r="G1227" s="668"/>
      <c r="H1227" s="1408"/>
      <c r="I1227" s="65"/>
      <c r="J1227" s="66"/>
      <c r="K1227" s="1407"/>
      <c r="L1227" s="1409"/>
      <c r="M1227" s="668"/>
    </row>
    <row r="1228" spans="1:13" s="67" customFormat="1">
      <c r="A1228" s="1406"/>
      <c r="B1228" s="1407"/>
      <c r="C1228" s="668"/>
      <c r="D1228" s="666"/>
      <c r="E1228" s="667"/>
      <c r="F1228" s="667"/>
      <c r="G1228" s="668"/>
      <c r="H1228" s="1408"/>
      <c r="I1228" s="65"/>
      <c r="J1228" s="66"/>
      <c r="K1228" s="1407"/>
      <c r="L1228" s="1409"/>
      <c r="M1228" s="668"/>
    </row>
    <row r="1229" spans="1:13" s="67" customFormat="1">
      <c r="A1229" s="1406"/>
      <c r="B1229" s="1407"/>
      <c r="C1229" s="668"/>
      <c r="D1229" s="666"/>
      <c r="E1229" s="667"/>
      <c r="F1229" s="667"/>
      <c r="G1229" s="668"/>
      <c r="H1229" s="1408"/>
      <c r="I1229" s="65"/>
      <c r="J1229" s="66"/>
      <c r="K1229" s="1407"/>
      <c r="L1229" s="1409"/>
      <c r="M1229" s="668"/>
    </row>
    <row r="1230" spans="1:13" s="67" customFormat="1">
      <c r="A1230" s="1406"/>
      <c r="B1230" s="1407"/>
      <c r="C1230" s="668"/>
      <c r="D1230" s="666"/>
      <c r="E1230" s="667"/>
      <c r="F1230" s="667"/>
      <c r="G1230" s="668"/>
      <c r="H1230" s="1408"/>
      <c r="I1230" s="65"/>
      <c r="J1230" s="66"/>
      <c r="K1230" s="1407"/>
      <c r="L1230" s="1409"/>
      <c r="M1230" s="668"/>
    </row>
    <row r="1231" spans="1:13" s="67" customFormat="1">
      <c r="A1231" s="1406"/>
      <c r="B1231" s="1407"/>
      <c r="C1231" s="668"/>
      <c r="D1231" s="666"/>
      <c r="E1231" s="667"/>
      <c r="F1231" s="667"/>
      <c r="G1231" s="668"/>
      <c r="H1231" s="1408"/>
      <c r="I1231" s="65"/>
      <c r="J1231" s="66"/>
      <c r="K1231" s="1407"/>
      <c r="L1231" s="1409"/>
      <c r="M1231" s="668"/>
    </row>
    <row r="1232" spans="1:13" s="67" customFormat="1">
      <c r="A1232" s="1406"/>
      <c r="B1232" s="1407"/>
      <c r="C1232" s="668"/>
      <c r="D1232" s="666"/>
      <c r="E1232" s="667"/>
      <c r="F1232" s="667"/>
      <c r="G1232" s="668"/>
      <c r="H1232" s="1408"/>
      <c r="I1232" s="65"/>
      <c r="J1232" s="66"/>
      <c r="K1232" s="1407"/>
      <c r="L1232" s="1409"/>
      <c r="M1232" s="668"/>
    </row>
    <row r="1233" spans="1:13" s="67" customFormat="1">
      <c r="A1233" s="1406"/>
      <c r="B1233" s="1407"/>
      <c r="C1233" s="668"/>
      <c r="D1233" s="666"/>
      <c r="E1233" s="667"/>
      <c r="F1233" s="667"/>
      <c r="G1233" s="668"/>
      <c r="H1233" s="1408"/>
      <c r="I1233" s="65"/>
      <c r="J1233" s="66"/>
      <c r="K1233" s="1407"/>
      <c r="L1233" s="1409"/>
      <c r="M1233" s="668"/>
    </row>
    <row r="1234" spans="1:13" s="67" customFormat="1">
      <c r="A1234" s="1406"/>
      <c r="B1234" s="1407"/>
      <c r="C1234" s="668"/>
      <c r="D1234" s="666"/>
      <c r="E1234" s="667"/>
      <c r="F1234" s="667"/>
      <c r="G1234" s="668"/>
      <c r="H1234" s="1408"/>
      <c r="I1234" s="65"/>
      <c r="J1234" s="66"/>
      <c r="K1234" s="1407"/>
      <c r="L1234" s="1409"/>
      <c r="M1234" s="668"/>
    </row>
    <row r="1235" spans="1:13" s="67" customFormat="1">
      <c r="A1235" s="1406"/>
      <c r="B1235" s="1407"/>
      <c r="C1235" s="668"/>
      <c r="D1235" s="666"/>
      <c r="E1235" s="667"/>
      <c r="F1235" s="667"/>
      <c r="G1235" s="668"/>
      <c r="H1235" s="1408"/>
      <c r="I1235" s="65"/>
      <c r="J1235" s="66"/>
      <c r="K1235" s="1407"/>
      <c r="L1235" s="1409"/>
      <c r="M1235" s="668"/>
    </row>
    <row r="1236" spans="1:13" s="67" customFormat="1">
      <c r="A1236" s="1406"/>
      <c r="B1236" s="1407"/>
      <c r="C1236" s="668"/>
      <c r="D1236" s="666"/>
      <c r="E1236" s="667"/>
      <c r="F1236" s="667"/>
      <c r="G1236" s="668"/>
      <c r="H1236" s="1408"/>
      <c r="I1236" s="65"/>
      <c r="J1236" s="66"/>
      <c r="K1236" s="1407"/>
      <c r="L1236" s="1409"/>
      <c r="M1236" s="668"/>
    </row>
    <row r="1237" spans="1:13" s="67" customFormat="1">
      <c r="A1237" s="1406"/>
      <c r="B1237" s="1407"/>
      <c r="C1237" s="668"/>
      <c r="D1237" s="666"/>
      <c r="E1237" s="667"/>
      <c r="F1237" s="667"/>
      <c r="G1237" s="668"/>
      <c r="H1237" s="1408"/>
      <c r="I1237" s="65"/>
      <c r="J1237" s="66"/>
      <c r="K1237" s="1407"/>
      <c r="L1237" s="1409"/>
      <c r="M1237" s="668"/>
    </row>
    <row r="1238" spans="1:13" s="67" customFormat="1">
      <c r="A1238" s="1406"/>
      <c r="B1238" s="1407"/>
      <c r="C1238" s="668"/>
      <c r="D1238" s="666"/>
      <c r="E1238" s="667"/>
      <c r="F1238" s="667"/>
      <c r="G1238" s="668"/>
      <c r="H1238" s="1408"/>
      <c r="I1238" s="65"/>
      <c r="J1238" s="66"/>
      <c r="K1238" s="1407"/>
      <c r="L1238" s="1409"/>
      <c r="M1238" s="668"/>
    </row>
    <row r="1239" spans="1:13" s="67" customFormat="1">
      <c r="A1239" s="1406"/>
      <c r="B1239" s="1407"/>
      <c r="C1239" s="668"/>
      <c r="D1239" s="666"/>
      <c r="E1239" s="667"/>
      <c r="F1239" s="667"/>
      <c r="G1239" s="668"/>
      <c r="H1239" s="1408"/>
      <c r="I1239" s="65"/>
      <c r="J1239" s="66"/>
      <c r="K1239" s="1407"/>
      <c r="L1239" s="1409"/>
      <c r="M1239" s="668"/>
    </row>
    <row r="1240" spans="1:13" s="67" customFormat="1">
      <c r="A1240" s="1406"/>
      <c r="B1240" s="1407"/>
      <c r="C1240" s="668"/>
      <c r="D1240" s="666"/>
      <c r="E1240" s="667"/>
      <c r="F1240" s="667"/>
      <c r="G1240" s="668"/>
      <c r="H1240" s="1408"/>
      <c r="I1240" s="65"/>
      <c r="J1240" s="66"/>
      <c r="K1240" s="1407"/>
      <c r="L1240" s="1409"/>
      <c r="M1240" s="668"/>
    </row>
    <row r="1241" spans="1:13" s="67" customFormat="1">
      <c r="A1241" s="1406"/>
      <c r="B1241" s="1407"/>
      <c r="C1241" s="668"/>
      <c r="D1241" s="666"/>
      <c r="E1241" s="667"/>
      <c r="F1241" s="667"/>
      <c r="G1241" s="668"/>
      <c r="H1241" s="1408"/>
      <c r="I1241" s="65"/>
      <c r="J1241" s="66"/>
      <c r="K1241" s="1407"/>
      <c r="L1241" s="1409"/>
      <c r="M1241" s="668"/>
    </row>
    <row r="1242" spans="1:13" s="67" customFormat="1">
      <c r="A1242" s="1406"/>
      <c r="B1242" s="1407"/>
      <c r="C1242" s="668"/>
      <c r="D1242" s="666"/>
      <c r="E1242" s="667"/>
      <c r="F1242" s="667"/>
      <c r="G1242" s="668"/>
      <c r="H1242" s="1408"/>
      <c r="I1242" s="65"/>
      <c r="J1242" s="66"/>
      <c r="K1242" s="1407"/>
      <c r="L1242" s="1409"/>
      <c r="M1242" s="668"/>
    </row>
    <row r="1243" spans="1:13" s="67" customFormat="1">
      <c r="A1243" s="1406"/>
      <c r="B1243" s="1407"/>
      <c r="C1243" s="668"/>
      <c r="D1243" s="666"/>
      <c r="E1243" s="667"/>
      <c r="F1243" s="667"/>
      <c r="G1243" s="668"/>
      <c r="H1243" s="1408"/>
      <c r="I1243" s="65"/>
      <c r="J1243" s="66"/>
      <c r="K1243" s="1407"/>
      <c r="L1243" s="1409"/>
      <c r="M1243" s="668"/>
    </row>
    <row r="1244" spans="1:13" s="67" customFormat="1">
      <c r="A1244" s="1406"/>
      <c r="B1244" s="1407"/>
      <c r="C1244" s="668"/>
      <c r="D1244" s="666"/>
      <c r="E1244" s="667"/>
      <c r="F1244" s="667"/>
      <c r="G1244" s="668"/>
      <c r="H1244" s="1408"/>
      <c r="I1244" s="65"/>
      <c r="J1244" s="66"/>
      <c r="K1244" s="1407"/>
      <c r="L1244" s="1409"/>
      <c r="M1244" s="668"/>
    </row>
    <row r="1245" spans="1:13" s="67" customFormat="1">
      <c r="A1245" s="1406"/>
      <c r="B1245" s="1407"/>
      <c r="C1245" s="668"/>
      <c r="D1245" s="666"/>
      <c r="E1245" s="667"/>
      <c r="F1245" s="667"/>
      <c r="G1245" s="668"/>
      <c r="H1245" s="1408"/>
      <c r="I1245" s="65"/>
      <c r="J1245" s="66"/>
      <c r="K1245" s="1407"/>
      <c r="L1245" s="1409"/>
      <c r="M1245" s="668"/>
    </row>
    <row r="1246" spans="1:13" s="67" customFormat="1">
      <c r="A1246" s="1406"/>
      <c r="B1246" s="1407"/>
      <c r="C1246" s="668"/>
      <c r="D1246" s="666"/>
      <c r="E1246" s="667"/>
      <c r="F1246" s="667"/>
      <c r="G1246" s="668"/>
      <c r="H1246" s="1408"/>
      <c r="I1246" s="65"/>
      <c r="J1246" s="66"/>
      <c r="K1246" s="1407"/>
      <c r="L1246" s="1409"/>
      <c r="M1246" s="668"/>
    </row>
    <row r="1247" spans="1:13" s="67" customFormat="1">
      <c r="A1247" s="1406"/>
      <c r="B1247" s="1407"/>
      <c r="C1247" s="668"/>
      <c r="D1247" s="666"/>
      <c r="E1247" s="667"/>
      <c r="F1247" s="667"/>
      <c r="G1247" s="668"/>
      <c r="H1247" s="1408"/>
      <c r="I1247" s="65"/>
      <c r="J1247" s="66"/>
      <c r="K1247" s="1407"/>
      <c r="L1247" s="1409"/>
      <c r="M1247" s="668"/>
    </row>
    <row r="1248" spans="1:13" s="67" customFormat="1">
      <c r="A1248" s="1406"/>
      <c r="B1248" s="1407"/>
      <c r="C1248" s="668"/>
      <c r="D1248" s="666"/>
      <c r="E1248" s="667"/>
      <c r="F1248" s="667"/>
      <c r="G1248" s="668"/>
      <c r="H1248" s="1408"/>
      <c r="I1248" s="65"/>
      <c r="J1248" s="66"/>
      <c r="K1248" s="1407"/>
      <c r="L1248" s="1409"/>
      <c r="M1248" s="668"/>
    </row>
    <row r="1249" spans="1:13" s="67" customFormat="1">
      <c r="A1249" s="1406"/>
      <c r="B1249" s="1407"/>
      <c r="C1249" s="668"/>
      <c r="D1249" s="666"/>
      <c r="E1249" s="667"/>
      <c r="F1249" s="667"/>
      <c r="G1249" s="668"/>
      <c r="H1249" s="1408"/>
      <c r="I1249" s="65"/>
      <c r="J1249" s="66"/>
      <c r="K1249" s="1407"/>
      <c r="L1249" s="1409"/>
      <c r="M1249" s="668"/>
    </row>
    <row r="1250" spans="1:13" s="67" customFormat="1">
      <c r="A1250" s="1406"/>
      <c r="B1250" s="1407"/>
      <c r="C1250" s="668"/>
      <c r="D1250" s="666"/>
      <c r="E1250" s="667"/>
      <c r="F1250" s="667"/>
      <c r="G1250" s="668"/>
      <c r="H1250" s="1408"/>
      <c r="I1250" s="65"/>
      <c r="J1250" s="66"/>
      <c r="K1250" s="1407"/>
      <c r="L1250" s="1409"/>
      <c r="M1250" s="668"/>
    </row>
    <row r="1251" spans="1:13" s="67" customFormat="1">
      <c r="A1251" s="1406"/>
      <c r="B1251" s="1407"/>
      <c r="C1251" s="668"/>
      <c r="D1251" s="666"/>
      <c r="E1251" s="667"/>
      <c r="F1251" s="667"/>
      <c r="G1251" s="668"/>
      <c r="H1251" s="1408"/>
      <c r="I1251" s="65"/>
      <c r="J1251" s="66"/>
      <c r="K1251" s="1407"/>
      <c r="L1251" s="1409"/>
      <c r="M1251" s="668"/>
    </row>
    <row r="1252" spans="1:13" s="67" customFormat="1">
      <c r="A1252" s="1406"/>
      <c r="B1252" s="1407"/>
      <c r="C1252" s="668"/>
      <c r="D1252" s="666"/>
      <c r="E1252" s="667"/>
      <c r="F1252" s="667"/>
      <c r="G1252" s="668"/>
      <c r="H1252" s="1408"/>
      <c r="I1252" s="65"/>
      <c r="J1252" s="66"/>
      <c r="K1252" s="1407"/>
      <c r="L1252" s="1409"/>
      <c r="M1252" s="668"/>
    </row>
    <row r="1253" spans="1:13" s="67" customFormat="1">
      <c r="A1253" s="1406"/>
      <c r="B1253" s="1407"/>
      <c r="C1253" s="668"/>
      <c r="D1253" s="666"/>
      <c r="E1253" s="667"/>
      <c r="F1253" s="667"/>
      <c r="G1253" s="668"/>
      <c r="H1253" s="1408"/>
      <c r="I1253" s="65"/>
      <c r="J1253" s="66"/>
      <c r="K1253" s="1407"/>
      <c r="L1253" s="1409"/>
      <c r="M1253" s="668"/>
    </row>
    <row r="1254" spans="1:13" s="67" customFormat="1">
      <c r="A1254" s="1406"/>
      <c r="B1254" s="1407"/>
      <c r="C1254" s="668"/>
      <c r="D1254" s="666"/>
      <c r="E1254" s="667"/>
      <c r="F1254" s="667"/>
      <c r="G1254" s="668"/>
      <c r="H1254" s="1408"/>
      <c r="I1254" s="65"/>
      <c r="J1254" s="66"/>
      <c r="K1254" s="1407"/>
      <c r="L1254" s="1409"/>
      <c r="M1254" s="668"/>
    </row>
    <row r="1255" spans="1:13" s="67" customFormat="1">
      <c r="A1255" s="1406"/>
      <c r="B1255" s="1407"/>
      <c r="C1255" s="668"/>
      <c r="D1255" s="666"/>
      <c r="E1255" s="667"/>
      <c r="F1255" s="667"/>
      <c r="G1255" s="668"/>
      <c r="H1255" s="1408"/>
      <c r="I1255" s="65"/>
      <c r="J1255" s="66"/>
      <c r="K1255" s="1407"/>
      <c r="L1255" s="1409"/>
      <c r="M1255" s="668"/>
    </row>
    <row r="1256" spans="1:13" s="67" customFormat="1">
      <c r="A1256" s="1406"/>
      <c r="B1256" s="1407"/>
      <c r="C1256" s="668"/>
      <c r="D1256" s="666"/>
      <c r="E1256" s="667"/>
      <c r="F1256" s="667"/>
      <c r="G1256" s="668"/>
      <c r="H1256" s="1408"/>
      <c r="I1256" s="65"/>
      <c r="J1256" s="66"/>
      <c r="K1256" s="1407"/>
      <c r="L1256" s="1409"/>
      <c r="M1256" s="668"/>
    </row>
    <row r="1257" spans="1:13" s="67" customFormat="1">
      <c r="A1257" s="1406"/>
      <c r="B1257" s="1407"/>
      <c r="C1257" s="668"/>
      <c r="D1257" s="666"/>
      <c r="E1257" s="667"/>
      <c r="F1257" s="667"/>
      <c r="G1257" s="668"/>
      <c r="H1257" s="1408"/>
      <c r="I1257" s="65"/>
      <c r="J1257" s="66"/>
      <c r="K1257" s="1407"/>
      <c r="L1257" s="1409"/>
      <c r="M1257" s="668"/>
    </row>
    <row r="1258" spans="1:13" s="67" customFormat="1">
      <c r="A1258" s="1406"/>
      <c r="B1258" s="1407"/>
      <c r="C1258" s="668"/>
      <c r="D1258" s="666"/>
      <c r="E1258" s="667"/>
      <c r="F1258" s="667"/>
      <c r="G1258" s="668"/>
      <c r="H1258" s="1408"/>
      <c r="I1258" s="65"/>
      <c r="J1258" s="66"/>
      <c r="K1258" s="1407"/>
      <c r="L1258" s="1409"/>
      <c r="M1258" s="668"/>
    </row>
    <row r="1259" spans="1:13" s="67" customFormat="1">
      <c r="A1259" s="1406"/>
      <c r="B1259" s="1407"/>
      <c r="C1259" s="668"/>
      <c r="D1259" s="666"/>
      <c r="E1259" s="667"/>
      <c r="F1259" s="667"/>
      <c r="G1259" s="668"/>
      <c r="H1259" s="1408"/>
      <c r="I1259" s="65"/>
      <c r="J1259" s="66"/>
      <c r="K1259" s="1407"/>
      <c r="L1259" s="1409"/>
      <c r="M1259" s="668"/>
    </row>
    <row r="1260" spans="1:13" s="67" customFormat="1">
      <c r="A1260" s="1406"/>
      <c r="B1260" s="1407"/>
      <c r="C1260" s="668"/>
      <c r="D1260" s="666"/>
      <c r="E1260" s="667"/>
      <c r="F1260" s="667"/>
      <c r="G1260" s="668"/>
      <c r="H1260" s="1408"/>
      <c r="I1260" s="65"/>
      <c r="J1260" s="66"/>
      <c r="K1260" s="1407"/>
      <c r="L1260" s="1409"/>
      <c r="M1260" s="668"/>
    </row>
    <row r="1261" spans="1:13" s="67" customFormat="1">
      <c r="A1261" s="1406"/>
      <c r="B1261" s="1407"/>
      <c r="C1261" s="668"/>
      <c r="D1261" s="666"/>
      <c r="E1261" s="667"/>
      <c r="F1261" s="667"/>
      <c r="G1261" s="668"/>
      <c r="H1261" s="1408"/>
      <c r="I1261" s="65"/>
      <c r="J1261" s="66"/>
      <c r="K1261" s="1407"/>
      <c r="L1261" s="1409"/>
      <c r="M1261" s="668"/>
    </row>
    <row r="1262" spans="1:13" s="67" customFormat="1">
      <c r="A1262" s="1406"/>
      <c r="B1262" s="1407"/>
      <c r="C1262" s="668"/>
      <c r="D1262" s="666"/>
      <c r="E1262" s="667"/>
      <c r="F1262" s="667"/>
      <c r="G1262" s="668"/>
      <c r="H1262" s="1408"/>
      <c r="I1262" s="65"/>
      <c r="J1262" s="66"/>
      <c r="K1262" s="1407"/>
      <c r="L1262" s="1409"/>
      <c r="M1262" s="668"/>
    </row>
    <row r="1263" spans="1:13" s="67" customFormat="1">
      <c r="A1263" s="1406"/>
      <c r="B1263" s="1407"/>
      <c r="C1263" s="668"/>
      <c r="D1263" s="666"/>
      <c r="E1263" s="667"/>
      <c r="F1263" s="667"/>
      <c r="G1263" s="668"/>
      <c r="H1263" s="1408"/>
      <c r="I1263" s="65"/>
      <c r="J1263" s="66"/>
      <c r="K1263" s="1407"/>
      <c r="L1263" s="1409"/>
      <c r="M1263" s="668"/>
    </row>
    <row r="1264" spans="1:13" s="67" customFormat="1">
      <c r="A1264" s="1406"/>
      <c r="B1264" s="1407"/>
      <c r="C1264" s="668"/>
      <c r="D1264" s="666"/>
      <c r="E1264" s="667"/>
      <c r="F1264" s="667"/>
      <c r="G1264" s="668"/>
      <c r="H1264" s="1408"/>
      <c r="I1264" s="65"/>
      <c r="J1264" s="66"/>
      <c r="K1264" s="1407"/>
      <c r="L1264" s="1409"/>
      <c r="M1264" s="668"/>
    </row>
    <row r="1265" spans="1:13" s="67" customFormat="1">
      <c r="A1265" s="1406"/>
      <c r="B1265" s="1407"/>
      <c r="C1265" s="668"/>
      <c r="D1265" s="666"/>
      <c r="E1265" s="667"/>
      <c r="F1265" s="667"/>
      <c r="G1265" s="668"/>
      <c r="H1265" s="1408"/>
      <c r="I1265" s="65"/>
      <c r="J1265" s="66"/>
      <c r="K1265" s="1407"/>
      <c r="L1265" s="1409"/>
      <c r="M1265" s="668"/>
    </row>
    <row r="1266" spans="1:13" s="67" customFormat="1">
      <c r="A1266" s="1406"/>
      <c r="B1266" s="1407"/>
      <c r="C1266" s="668"/>
      <c r="D1266" s="666"/>
      <c r="E1266" s="667"/>
      <c r="F1266" s="667"/>
      <c r="G1266" s="668"/>
      <c r="H1266" s="1408"/>
      <c r="I1266" s="65"/>
      <c r="J1266" s="66"/>
      <c r="K1266" s="1407"/>
      <c r="L1266" s="1409"/>
      <c r="M1266" s="668"/>
    </row>
    <row r="1267" spans="1:13" s="67" customFormat="1">
      <c r="A1267" s="1406"/>
      <c r="B1267" s="1407"/>
      <c r="C1267" s="668"/>
      <c r="D1267" s="666"/>
      <c r="E1267" s="667"/>
      <c r="F1267" s="667"/>
      <c r="G1267" s="668"/>
      <c r="H1267" s="1408"/>
      <c r="I1267" s="65"/>
      <c r="J1267" s="66"/>
      <c r="K1267" s="1407"/>
      <c r="L1267" s="1409"/>
      <c r="M1267" s="668"/>
    </row>
    <row r="1268" spans="1:13" s="67" customFormat="1">
      <c r="A1268" s="1406"/>
      <c r="B1268" s="1407"/>
      <c r="C1268" s="668"/>
      <c r="D1268" s="666"/>
      <c r="E1268" s="667"/>
      <c r="F1268" s="667"/>
      <c r="G1268" s="668"/>
      <c r="H1268" s="1408"/>
      <c r="I1268" s="65"/>
      <c r="J1268" s="66"/>
      <c r="K1268" s="1407"/>
      <c r="L1268" s="1409"/>
      <c r="M1268" s="668"/>
    </row>
    <row r="1269" spans="1:13" s="67" customFormat="1">
      <c r="A1269" s="1406"/>
      <c r="B1269" s="1407"/>
      <c r="C1269" s="668"/>
      <c r="D1269" s="666"/>
      <c r="E1269" s="667"/>
      <c r="F1269" s="667"/>
      <c r="G1269" s="668"/>
      <c r="H1269" s="1408"/>
      <c r="I1269" s="65"/>
      <c r="J1269" s="66"/>
      <c r="K1269" s="1407"/>
      <c r="L1269" s="1409"/>
      <c r="M1269" s="668"/>
    </row>
    <row r="1270" spans="1:13" s="67" customFormat="1">
      <c r="A1270" s="1406"/>
      <c r="B1270" s="1407"/>
      <c r="C1270" s="668"/>
      <c r="D1270" s="666"/>
      <c r="E1270" s="667"/>
      <c r="F1270" s="667"/>
      <c r="G1270" s="668"/>
      <c r="H1270" s="1408"/>
      <c r="I1270" s="65"/>
      <c r="J1270" s="66"/>
      <c r="K1270" s="1407"/>
      <c r="L1270" s="1409"/>
      <c r="M1270" s="668"/>
    </row>
    <row r="1271" spans="1:13" s="67" customFormat="1">
      <c r="A1271" s="1406"/>
      <c r="B1271" s="1407"/>
      <c r="C1271" s="668"/>
      <c r="D1271" s="666"/>
      <c r="E1271" s="667"/>
      <c r="F1271" s="667"/>
      <c r="G1271" s="668"/>
      <c r="H1271" s="1408"/>
      <c r="I1271" s="65"/>
      <c r="J1271" s="66"/>
      <c r="K1271" s="1407"/>
      <c r="L1271" s="1409"/>
      <c r="M1271" s="668"/>
    </row>
    <row r="1272" spans="1:13" s="67" customFormat="1">
      <c r="A1272" s="1406"/>
      <c r="B1272" s="1407"/>
      <c r="C1272" s="668"/>
      <c r="D1272" s="666"/>
      <c r="E1272" s="667"/>
      <c r="F1272" s="667"/>
      <c r="G1272" s="668"/>
      <c r="H1272" s="1408"/>
      <c r="I1272" s="65"/>
      <c r="J1272" s="66"/>
      <c r="K1272" s="1407"/>
      <c r="L1272" s="1409"/>
      <c r="M1272" s="668"/>
    </row>
    <row r="1273" spans="1:13" s="67" customFormat="1">
      <c r="A1273" s="1406"/>
      <c r="B1273" s="1407"/>
      <c r="C1273" s="668"/>
      <c r="D1273" s="666"/>
      <c r="E1273" s="667"/>
      <c r="F1273" s="667"/>
      <c r="G1273" s="668"/>
      <c r="H1273" s="1408"/>
      <c r="I1273" s="65"/>
      <c r="J1273" s="66"/>
      <c r="K1273" s="1407"/>
      <c r="L1273" s="1409"/>
      <c r="M1273" s="668"/>
    </row>
    <row r="1274" spans="1:13" s="67" customFormat="1">
      <c r="A1274" s="1406"/>
      <c r="B1274" s="1407"/>
      <c r="C1274" s="668"/>
      <c r="D1274" s="666"/>
      <c r="E1274" s="667"/>
      <c r="F1274" s="667"/>
      <c r="G1274" s="668"/>
      <c r="H1274" s="1408"/>
      <c r="I1274" s="65"/>
      <c r="J1274" s="66"/>
      <c r="K1274" s="1407"/>
      <c r="L1274" s="1409"/>
      <c r="M1274" s="668"/>
    </row>
    <row r="1275" spans="1:13" s="67" customFormat="1">
      <c r="A1275" s="1406"/>
      <c r="B1275" s="1407"/>
      <c r="C1275" s="668"/>
      <c r="D1275" s="666"/>
      <c r="E1275" s="667"/>
      <c r="F1275" s="667"/>
      <c r="G1275" s="668"/>
      <c r="H1275" s="1408"/>
      <c r="I1275" s="65"/>
      <c r="J1275" s="66"/>
      <c r="K1275" s="1407"/>
      <c r="L1275" s="1409"/>
      <c r="M1275" s="668"/>
    </row>
    <row r="1276" spans="1:13" s="67" customFormat="1">
      <c r="A1276" s="1406"/>
      <c r="B1276" s="1407"/>
      <c r="C1276" s="668"/>
      <c r="D1276" s="666"/>
      <c r="E1276" s="667"/>
      <c r="F1276" s="667"/>
      <c r="G1276" s="668"/>
      <c r="H1276" s="1408"/>
      <c r="I1276" s="65"/>
      <c r="J1276" s="66"/>
      <c r="K1276" s="1407"/>
      <c r="L1276" s="1409"/>
      <c r="M1276" s="668"/>
    </row>
    <row r="1277" spans="1:13" s="67" customFormat="1">
      <c r="A1277" s="1406"/>
      <c r="B1277" s="1407"/>
      <c r="C1277" s="668"/>
      <c r="D1277" s="666"/>
      <c r="E1277" s="667"/>
      <c r="F1277" s="667"/>
      <c r="G1277" s="668"/>
      <c r="H1277" s="1408"/>
      <c r="I1277" s="65"/>
      <c r="J1277" s="66"/>
      <c r="K1277" s="1407"/>
      <c r="L1277" s="1409"/>
      <c r="M1277" s="668"/>
    </row>
    <row r="1278" spans="1:13" s="67" customFormat="1">
      <c r="A1278" s="1406"/>
      <c r="B1278" s="1407"/>
      <c r="C1278" s="668"/>
      <c r="D1278" s="666"/>
      <c r="E1278" s="667"/>
      <c r="F1278" s="667"/>
      <c r="G1278" s="668"/>
      <c r="H1278" s="1408"/>
      <c r="I1278" s="65"/>
      <c r="J1278" s="66"/>
      <c r="K1278" s="1407"/>
      <c r="L1278" s="1409"/>
      <c r="M1278" s="668"/>
    </row>
    <row r="1279" spans="1:13" s="67" customFormat="1">
      <c r="A1279" s="1406"/>
      <c r="B1279" s="1407"/>
      <c r="C1279" s="668"/>
      <c r="D1279" s="666"/>
      <c r="E1279" s="667"/>
      <c r="F1279" s="667"/>
      <c r="G1279" s="668"/>
      <c r="H1279" s="1408"/>
      <c r="I1279" s="65"/>
      <c r="J1279" s="66"/>
      <c r="K1279" s="1407"/>
      <c r="L1279" s="1409"/>
      <c r="M1279" s="668"/>
    </row>
    <row r="1280" spans="1:13" s="67" customFormat="1">
      <c r="A1280" s="1406"/>
      <c r="B1280" s="1407"/>
      <c r="C1280" s="668"/>
      <c r="D1280" s="666"/>
      <c r="E1280" s="667"/>
      <c r="F1280" s="667"/>
      <c r="G1280" s="668"/>
      <c r="H1280" s="1408"/>
      <c r="I1280" s="65"/>
      <c r="J1280" s="66"/>
      <c r="K1280" s="1407"/>
      <c r="L1280" s="1409"/>
      <c r="M1280" s="668"/>
    </row>
    <row r="1281" spans="1:13" s="67" customFormat="1">
      <c r="A1281" s="1406"/>
      <c r="B1281" s="1407"/>
      <c r="C1281" s="668"/>
      <c r="D1281" s="666"/>
      <c r="E1281" s="667"/>
      <c r="F1281" s="667"/>
      <c r="G1281" s="668"/>
      <c r="H1281" s="1408"/>
      <c r="I1281" s="65"/>
      <c r="J1281" s="66"/>
      <c r="K1281" s="1407"/>
      <c r="L1281" s="1409"/>
      <c r="M1281" s="668"/>
    </row>
    <row r="1282" spans="1:13" s="67" customFormat="1">
      <c r="A1282" s="1406"/>
      <c r="B1282" s="1407"/>
      <c r="C1282" s="668"/>
      <c r="D1282" s="666"/>
      <c r="E1282" s="667"/>
      <c r="F1282" s="667"/>
      <c r="G1282" s="668"/>
      <c r="H1282" s="1408"/>
      <c r="I1282" s="65"/>
      <c r="J1282" s="66"/>
      <c r="K1282" s="1407"/>
      <c r="L1282" s="1409"/>
      <c r="M1282" s="668"/>
    </row>
    <row r="1283" spans="1:13" s="67" customFormat="1">
      <c r="A1283" s="1406"/>
      <c r="B1283" s="1407"/>
      <c r="C1283" s="668"/>
      <c r="D1283" s="666"/>
      <c r="E1283" s="667"/>
      <c r="F1283" s="667"/>
      <c r="G1283" s="668"/>
      <c r="H1283" s="1408"/>
      <c r="I1283" s="65"/>
      <c r="J1283" s="66"/>
      <c r="K1283" s="1407"/>
      <c r="L1283" s="1409"/>
      <c r="M1283" s="668"/>
    </row>
    <row r="1284" spans="1:13" s="67" customFormat="1">
      <c r="A1284" s="1406"/>
      <c r="B1284" s="1407"/>
      <c r="C1284" s="668"/>
      <c r="D1284" s="666"/>
      <c r="E1284" s="667"/>
      <c r="F1284" s="667"/>
      <c r="G1284" s="668"/>
      <c r="H1284" s="1408"/>
      <c r="I1284" s="65"/>
      <c r="J1284" s="66"/>
      <c r="K1284" s="1407"/>
      <c r="L1284" s="1409"/>
      <c r="M1284" s="668"/>
    </row>
    <row r="1285" spans="1:13" s="67" customFormat="1">
      <c r="A1285" s="1406"/>
      <c r="B1285" s="1407"/>
      <c r="C1285" s="668"/>
      <c r="D1285" s="666"/>
      <c r="E1285" s="667"/>
      <c r="F1285" s="667"/>
      <c r="G1285" s="668"/>
      <c r="H1285" s="1408"/>
      <c r="I1285" s="65"/>
      <c r="J1285" s="66"/>
      <c r="K1285" s="1407"/>
      <c r="L1285" s="1409"/>
      <c r="M1285" s="668"/>
    </row>
    <row r="1286" spans="1:13" s="67" customFormat="1">
      <c r="A1286" s="1406"/>
      <c r="B1286" s="1407"/>
      <c r="C1286" s="668"/>
      <c r="D1286" s="666"/>
      <c r="E1286" s="667"/>
      <c r="F1286" s="667"/>
      <c r="G1286" s="668"/>
      <c r="H1286" s="1408"/>
      <c r="I1286" s="65"/>
      <c r="J1286" s="66"/>
      <c r="K1286" s="1407"/>
      <c r="L1286" s="1409"/>
      <c r="M1286" s="668"/>
    </row>
    <row r="1287" spans="1:13" s="67" customFormat="1">
      <c r="A1287" s="1406"/>
      <c r="B1287" s="1407"/>
      <c r="C1287" s="668"/>
      <c r="D1287" s="666"/>
      <c r="E1287" s="667"/>
      <c r="F1287" s="667"/>
      <c r="G1287" s="668"/>
      <c r="H1287" s="1408"/>
      <c r="I1287" s="65"/>
      <c r="J1287" s="66"/>
      <c r="K1287" s="1407"/>
      <c r="L1287" s="1409"/>
      <c r="M1287" s="668"/>
    </row>
    <row r="1288" spans="1:13" s="67" customFormat="1">
      <c r="A1288" s="1406"/>
      <c r="B1288" s="1407"/>
      <c r="C1288" s="668"/>
      <c r="D1288" s="666"/>
      <c r="E1288" s="667"/>
      <c r="F1288" s="667"/>
      <c r="G1288" s="668"/>
      <c r="H1288" s="1408"/>
      <c r="I1288" s="65"/>
      <c r="J1288" s="66"/>
      <c r="K1288" s="1407"/>
      <c r="L1288" s="1409"/>
      <c r="M1288" s="668"/>
    </row>
    <row r="1289" spans="1:13" s="67" customFormat="1">
      <c r="A1289" s="1406"/>
      <c r="B1289" s="1407"/>
      <c r="C1289" s="668"/>
      <c r="D1289" s="666"/>
      <c r="E1289" s="667"/>
      <c r="F1289" s="667"/>
      <c r="G1289" s="668"/>
      <c r="H1289" s="1408"/>
      <c r="I1289" s="65"/>
      <c r="J1289" s="66"/>
      <c r="K1289" s="1407"/>
      <c r="L1289" s="1409"/>
      <c r="M1289" s="668"/>
    </row>
    <row r="1290" spans="1:13" s="67" customFormat="1">
      <c r="A1290" s="1406"/>
      <c r="B1290" s="1407"/>
      <c r="C1290" s="668"/>
      <c r="D1290" s="666"/>
      <c r="E1290" s="667"/>
      <c r="F1290" s="667"/>
      <c r="G1290" s="668"/>
      <c r="H1290" s="1408"/>
      <c r="I1290" s="65"/>
      <c r="J1290" s="66"/>
      <c r="K1290" s="1407"/>
      <c r="L1290" s="1409"/>
      <c r="M1290" s="668"/>
    </row>
    <row r="1291" spans="1:13" s="67" customFormat="1">
      <c r="A1291" s="1406"/>
      <c r="B1291" s="1407"/>
      <c r="C1291" s="668"/>
      <c r="D1291" s="666"/>
      <c r="E1291" s="667"/>
      <c r="F1291" s="667"/>
      <c r="G1291" s="668"/>
      <c r="H1291" s="1408"/>
      <c r="I1291" s="65"/>
      <c r="J1291" s="66"/>
      <c r="K1291" s="1407"/>
      <c r="L1291" s="1409"/>
      <c r="M1291" s="668"/>
    </row>
    <row r="1292" spans="1:13" s="67" customFormat="1">
      <c r="A1292" s="1406"/>
      <c r="B1292" s="1407"/>
      <c r="C1292" s="668"/>
      <c r="D1292" s="666"/>
      <c r="E1292" s="667"/>
      <c r="F1292" s="667"/>
      <c r="G1292" s="668"/>
      <c r="H1292" s="1408"/>
      <c r="I1292" s="65"/>
      <c r="J1292" s="66"/>
      <c r="K1292" s="1407"/>
      <c r="L1292" s="1409"/>
      <c r="M1292" s="668"/>
    </row>
    <row r="1293" spans="1:13" s="67" customFormat="1">
      <c r="A1293" s="1406"/>
      <c r="B1293" s="1407"/>
      <c r="C1293" s="668"/>
      <c r="D1293" s="666"/>
      <c r="E1293" s="667"/>
      <c r="F1293" s="667"/>
      <c r="G1293" s="668"/>
      <c r="H1293" s="1408"/>
      <c r="I1293" s="65"/>
      <c r="J1293" s="66"/>
      <c r="K1293" s="1407"/>
      <c r="L1293" s="1409"/>
      <c r="M1293" s="668"/>
    </row>
    <row r="1294" spans="1:13" s="67" customFormat="1">
      <c r="A1294" s="1406"/>
      <c r="B1294" s="1407"/>
      <c r="C1294" s="668"/>
      <c r="D1294" s="666"/>
      <c r="E1294" s="667"/>
      <c r="F1294" s="667"/>
      <c r="G1294" s="668"/>
      <c r="H1294" s="1408"/>
      <c r="I1294" s="65"/>
      <c r="J1294" s="66"/>
      <c r="K1294" s="1407"/>
      <c r="L1294" s="1409"/>
      <c r="M1294" s="668"/>
    </row>
    <row r="1295" spans="1:13" s="67" customFormat="1">
      <c r="A1295" s="1406"/>
      <c r="B1295" s="1407"/>
      <c r="C1295" s="668"/>
      <c r="D1295" s="666"/>
      <c r="E1295" s="667"/>
      <c r="F1295" s="667"/>
      <c r="G1295" s="668"/>
      <c r="H1295" s="1408"/>
      <c r="I1295" s="65"/>
      <c r="J1295" s="66"/>
      <c r="K1295" s="1407"/>
      <c r="L1295" s="1409"/>
      <c r="M1295" s="668"/>
    </row>
    <row r="1296" spans="1:13" s="67" customFormat="1">
      <c r="A1296" s="1406"/>
      <c r="B1296" s="1407"/>
      <c r="C1296" s="668"/>
      <c r="D1296" s="666"/>
      <c r="E1296" s="667"/>
      <c r="F1296" s="667"/>
      <c r="G1296" s="668"/>
      <c r="H1296" s="1408"/>
      <c r="I1296" s="65"/>
      <c r="J1296" s="66"/>
      <c r="K1296" s="1407"/>
      <c r="L1296" s="1409"/>
      <c r="M1296" s="668"/>
    </row>
    <row r="1297" spans="1:13" s="67" customFormat="1">
      <c r="A1297" s="1406"/>
      <c r="B1297" s="1407"/>
      <c r="C1297" s="668"/>
      <c r="D1297" s="666"/>
      <c r="E1297" s="667"/>
      <c r="F1297" s="667"/>
      <c r="G1297" s="668"/>
      <c r="H1297" s="1408"/>
      <c r="I1297" s="65"/>
      <c r="J1297" s="66"/>
      <c r="K1297" s="1407"/>
      <c r="L1297" s="1409"/>
      <c r="M1297" s="668"/>
    </row>
    <row r="1298" spans="1:13" s="67" customFormat="1">
      <c r="A1298" s="1406"/>
      <c r="B1298" s="1407"/>
      <c r="C1298" s="668"/>
      <c r="D1298" s="666"/>
      <c r="E1298" s="667"/>
      <c r="F1298" s="667"/>
      <c r="G1298" s="668"/>
      <c r="H1298" s="1408"/>
      <c r="I1298" s="65"/>
      <c r="J1298" s="66"/>
      <c r="K1298" s="1407"/>
      <c r="L1298" s="1409"/>
      <c r="M1298" s="668"/>
    </row>
    <row r="1299" spans="1:13" s="67" customFormat="1">
      <c r="A1299" s="1406"/>
      <c r="B1299" s="1407"/>
      <c r="C1299" s="668"/>
      <c r="D1299" s="666"/>
      <c r="E1299" s="667"/>
      <c r="F1299" s="667"/>
      <c r="G1299" s="668"/>
      <c r="H1299" s="1408"/>
      <c r="I1299" s="65"/>
      <c r="J1299" s="66"/>
      <c r="K1299" s="1407"/>
      <c r="L1299" s="1409"/>
      <c r="M1299" s="668"/>
    </row>
    <row r="1300" spans="1:13" s="67" customFormat="1">
      <c r="A1300" s="1406"/>
      <c r="B1300" s="1407"/>
      <c r="C1300" s="668"/>
      <c r="D1300" s="666"/>
      <c r="E1300" s="667"/>
      <c r="F1300" s="667"/>
      <c r="G1300" s="668"/>
      <c r="H1300" s="1408"/>
      <c r="I1300" s="65"/>
      <c r="J1300" s="66"/>
      <c r="K1300" s="1407"/>
      <c r="L1300" s="1409"/>
      <c r="M1300" s="668"/>
    </row>
    <row r="1301" spans="1:13" s="67" customFormat="1">
      <c r="A1301" s="1406"/>
      <c r="B1301" s="1407"/>
      <c r="C1301" s="668"/>
      <c r="D1301" s="666"/>
      <c r="E1301" s="667"/>
      <c r="F1301" s="667"/>
      <c r="G1301" s="668"/>
      <c r="H1301" s="1408"/>
      <c r="I1301" s="65"/>
      <c r="J1301" s="66"/>
      <c r="K1301" s="1407"/>
      <c r="L1301" s="1409"/>
      <c r="M1301" s="668"/>
    </row>
    <row r="1302" spans="1:13" s="67" customFormat="1">
      <c r="A1302" s="1406"/>
      <c r="B1302" s="1407"/>
      <c r="C1302" s="668"/>
      <c r="D1302" s="666"/>
      <c r="E1302" s="667"/>
      <c r="F1302" s="667"/>
      <c r="G1302" s="668"/>
      <c r="H1302" s="1408"/>
      <c r="I1302" s="65"/>
      <c r="J1302" s="66"/>
      <c r="K1302" s="1407"/>
      <c r="L1302" s="1409"/>
      <c r="M1302" s="668"/>
    </row>
    <row r="1303" spans="1:13" s="67" customFormat="1">
      <c r="A1303" s="1406"/>
      <c r="B1303" s="1407"/>
      <c r="C1303" s="668"/>
      <c r="D1303" s="666"/>
      <c r="E1303" s="667"/>
      <c r="F1303" s="667"/>
      <c r="G1303" s="668"/>
      <c r="H1303" s="1408"/>
      <c r="I1303" s="65"/>
      <c r="J1303" s="66"/>
      <c r="K1303" s="1407"/>
      <c r="L1303" s="1409"/>
      <c r="M1303" s="668"/>
    </row>
    <row r="1304" spans="1:13" s="67" customFormat="1">
      <c r="A1304" s="1406"/>
      <c r="B1304" s="1407"/>
      <c r="C1304" s="668"/>
      <c r="D1304" s="666"/>
      <c r="E1304" s="667"/>
      <c r="F1304" s="667"/>
      <c r="G1304" s="668"/>
      <c r="H1304" s="1408"/>
      <c r="I1304" s="65"/>
      <c r="J1304" s="66"/>
      <c r="K1304" s="1407"/>
      <c r="L1304" s="1409"/>
      <c r="M1304" s="668"/>
    </row>
    <row r="1305" spans="1:13" s="67" customFormat="1">
      <c r="A1305" s="1406"/>
      <c r="B1305" s="1407"/>
      <c r="C1305" s="668"/>
      <c r="D1305" s="666"/>
      <c r="E1305" s="667"/>
      <c r="F1305" s="667"/>
      <c r="G1305" s="668"/>
      <c r="H1305" s="1408"/>
      <c r="I1305" s="65"/>
      <c r="J1305" s="66"/>
      <c r="K1305" s="1407"/>
      <c r="L1305" s="1409"/>
      <c r="M1305" s="668"/>
    </row>
    <row r="1306" spans="1:13" s="67" customFormat="1">
      <c r="A1306" s="1406"/>
      <c r="B1306" s="1407"/>
      <c r="C1306" s="668"/>
      <c r="D1306" s="666"/>
      <c r="E1306" s="667"/>
      <c r="F1306" s="667"/>
      <c r="G1306" s="668"/>
      <c r="H1306" s="1408"/>
      <c r="I1306" s="65"/>
      <c r="J1306" s="66"/>
      <c r="K1306" s="1407"/>
      <c r="L1306" s="1409"/>
      <c r="M1306" s="668"/>
    </row>
    <row r="1307" spans="1:13" s="67" customFormat="1">
      <c r="A1307" s="1406"/>
      <c r="B1307" s="1407"/>
      <c r="C1307" s="668"/>
      <c r="D1307" s="666"/>
      <c r="E1307" s="667"/>
      <c r="F1307" s="667"/>
      <c r="G1307" s="668"/>
      <c r="H1307" s="1408"/>
      <c r="I1307" s="65"/>
      <c r="J1307" s="66"/>
      <c r="K1307" s="1407"/>
      <c r="L1307" s="1409"/>
      <c r="M1307" s="668"/>
    </row>
    <row r="1308" spans="1:13" s="67" customFormat="1">
      <c r="A1308" s="1406"/>
      <c r="B1308" s="1407"/>
      <c r="C1308" s="668"/>
      <c r="D1308" s="666"/>
      <c r="E1308" s="667"/>
      <c r="F1308" s="667"/>
      <c r="G1308" s="668"/>
      <c r="H1308" s="1408"/>
      <c r="I1308" s="65"/>
      <c r="J1308" s="66"/>
      <c r="K1308" s="1407"/>
      <c r="L1308" s="1409"/>
      <c r="M1308" s="668"/>
    </row>
    <row r="1309" spans="1:13" s="67" customFormat="1">
      <c r="A1309" s="1406"/>
      <c r="B1309" s="1407"/>
      <c r="C1309" s="668"/>
      <c r="D1309" s="666"/>
      <c r="E1309" s="667"/>
      <c r="F1309" s="667"/>
      <c r="G1309" s="668"/>
      <c r="H1309" s="1408"/>
      <c r="I1309" s="65"/>
      <c r="J1309" s="66"/>
      <c r="K1309" s="1407"/>
      <c r="L1309" s="1409"/>
      <c r="M1309" s="668"/>
    </row>
    <row r="1310" spans="1:13" s="67" customFormat="1">
      <c r="A1310" s="1406"/>
      <c r="B1310" s="1407"/>
      <c r="C1310" s="668"/>
      <c r="D1310" s="666"/>
      <c r="E1310" s="667"/>
      <c r="F1310" s="667"/>
      <c r="G1310" s="668"/>
      <c r="H1310" s="1408"/>
      <c r="I1310" s="65"/>
      <c r="J1310" s="66"/>
      <c r="K1310" s="1407"/>
      <c r="L1310" s="1409"/>
      <c r="M1310" s="668"/>
    </row>
    <row r="1311" spans="1:13" s="67" customFormat="1">
      <c r="A1311" s="1406"/>
      <c r="B1311" s="1407"/>
      <c r="C1311" s="668"/>
      <c r="D1311" s="666"/>
      <c r="E1311" s="667"/>
      <c r="F1311" s="667"/>
      <c r="G1311" s="668"/>
      <c r="H1311" s="1408"/>
      <c r="I1311" s="65"/>
      <c r="J1311" s="66"/>
      <c r="K1311" s="1407"/>
      <c r="L1311" s="1409"/>
      <c r="M1311" s="668"/>
    </row>
    <row r="1312" spans="1:13" s="67" customFormat="1">
      <c r="A1312" s="1406"/>
      <c r="B1312" s="1407"/>
      <c r="C1312" s="668"/>
      <c r="D1312" s="666"/>
      <c r="E1312" s="667"/>
      <c r="F1312" s="667"/>
      <c r="G1312" s="668"/>
      <c r="H1312" s="1408"/>
      <c r="I1312" s="65"/>
      <c r="J1312" s="66"/>
      <c r="K1312" s="1407"/>
      <c r="L1312" s="1409"/>
      <c r="M1312" s="668"/>
    </row>
    <row r="1313" spans="1:13" s="67" customFormat="1">
      <c r="A1313" s="1406"/>
      <c r="B1313" s="1407"/>
      <c r="C1313" s="668"/>
      <c r="D1313" s="666"/>
      <c r="E1313" s="667"/>
      <c r="F1313" s="667"/>
      <c r="G1313" s="668"/>
      <c r="H1313" s="1408"/>
      <c r="I1313" s="65"/>
      <c r="J1313" s="66"/>
      <c r="K1313" s="1407"/>
      <c r="L1313" s="1409"/>
      <c r="M1313" s="668"/>
    </row>
    <row r="1314" spans="1:13" s="67" customFormat="1">
      <c r="A1314" s="1406"/>
      <c r="B1314" s="1407"/>
      <c r="C1314" s="668"/>
      <c r="D1314" s="666"/>
      <c r="E1314" s="667"/>
      <c r="F1314" s="667"/>
      <c r="G1314" s="668"/>
      <c r="H1314" s="1408"/>
      <c r="I1314" s="65"/>
      <c r="J1314" s="66"/>
      <c r="K1314" s="1407"/>
      <c r="L1314" s="1409"/>
      <c r="M1314" s="668"/>
    </row>
    <row r="1315" spans="1:13" s="67" customFormat="1">
      <c r="A1315" s="1406"/>
      <c r="B1315" s="1407"/>
      <c r="C1315" s="668"/>
      <c r="D1315" s="666"/>
      <c r="E1315" s="667"/>
      <c r="F1315" s="667"/>
      <c r="G1315" s="668"/>
      <c r="H1315" s="1408"/>
      <c r="I1315" s="65"/>
      <c r="J1315" s="66"/>
      <c r="K1315" s="1407"/>
      <c r="L1315" s="1409"/>
      <c r="M1315" s="668"/>
    </row>
    <row r="1316" spans="1:13" s="67" customFormat="1">
      <c r="A1316" s="1406"/>
      <c r="B1316" s="1407"/>
      <c r="C1316" s="668"/>
      <c r="D1316" s="666"/>
      <c r="E1316" s="667"/>
      <c r="F1316" s="667"/>
      <c r="G1316" s="668"/>
      <c r="H1316" s="1408"/>
      <c r="I1316" s="65"/>
      <c r="J1316" s="66"/>
      <c r="K1316" s="1407"/>
      <c r="L1316" s="1409"/>
      <c r="M1316" s="668"/>
    </row>
    <row r="1317" spans="1:13" s="67" customFormat="1">
      <c r="A1317" s="1406"/>
      <c r="B1317" s="1407"/>
      <c r="C1317" s="668"/>
      <c r="D1317" s="666"/>
      <c r="E1317" s="667"/>
      <c r="F1317" s="667"/>
      <c r="G1317" s="668"/>
      <c r="H1317" s="1408"/>
      <c r="I1317" s="65"/>
      <c r="J1317" s="66"/>
      <c r="K1317" s="1407"/>
      <c r="L1317" s="1409"/>
      <c r="M1317" s="668"/>
    </row>
    <row r="1318" spans="1:13" s="67" customFormat="1">
      <c r="A1318" s="1406"/>
      <c r="B1318" s="1407"/>
      <c r="C1318" s="668"/>
      <c r="D1318" s="666"/>
      <c r="E1318" s="667"/>
      <c r="F1318" s="667"/>
      <c r="G1318" s="668"/>
      <c r="H1318" s="1408"/>
      <c r="I1318" s="65"/>
      <c r="J1318" s="66"/>
      <c r="K1318" s="1407"/>
      <c r="L1318" s="1409"/>
      <c r="M1318" s="668"/>
    </row>
    <row r="1319" spans="1:13" s="67" customFormat="1">
      <c r="A1319" s="1406"/>
      <c r="B1319" s="1407"/>
      <c r="C1319" s="668"/>
      <c r="D1319" s="666"/>
      <c r="E1319" s="667"/>
      <c r="F1319" s="667"/>
      <c r="G1319" s="668"/>
      <c r="H1319" s="1408"/>
      <c r="I1319" s="65"/>
      <c r="J1319" s="66"/>
      <c r="K1319" s="1407"/>
      <c r="L1319" s="1409"/>
      <c r="M1319" s="668"/>
    </row>
    <row r="1320" spans="1:13" s="67" customFormat="1">
      <c r="A1320" s="1406"/>
      <c r="B1320" s="1407"/>
      <c r="C1320" s="668"/>
      <c r="D1320" s="666"/>
      <c r="E1320" s="667"/>
      <c r="F1320" s="667"/>
      <c r="G1320" s="668"/>
      <c r="H1320" s="1408"/>
      <c r="I1320" s="65"/>
      <c r="J1320" s="66"/>
      <c r="K1320" s="1407"/>
      <c r="L1320" s="1409"/>
      <c r="M1320" s="668"/>
    </row>
    <row r="1321" spans="1:13" s="67" customFormat="1">
      <c r="A1321" s="1406"/>
      <c r="B1321" s="1407"/>
      <c r="C1321" s="668"/>
      <c r="D1321" s="666"/>
      <c r="E1321" s="667"/>
      <c r="F1321" s="667"/>
      <c r="G1321" s="668"/>
      <c r="H1321" s="1408"/>
      <c r="I1321" s="65"/>
      <c r="J1321" s="66"/>
      <c r="K1321" s="1407"/>
      <c r="L1321" s="1409"/>
      <c r="M1321" s="668"/>
    </row>
    <row r="1322" spans="1:13" s="67" customFormat="1">
      <c r="A1322" s="1406"/>
      <c r="B1322" s="1407"/>
      <c r="C1322" s="668"/>
      <c r="D1322" s="666"/>
      <c r="E1322" s="667"/>
      <c r="F1322" s="667"/>
      <c r="G1322" s="668"/>
      <c r="H1322" s="1408"/>
      <c r="I1322" s="65"/>
      <c r="J1322" s="66"/>
      <c r="K1322" s="1407"/>
      <c r="L1322" s="1409"/>
      <c r="M1322" s="668"/>
    </row>
    <row r="1323" spans="1:13" s="67" customFormat="1">
      <c r="A1323" s="1406"/>
      <c r="B1323" s="1407"/>
      <c r="C1323" s="668"/>
      <c r="D1323" s="666"/>
      <c r="E1323" s="667"/>
      <c r="F1323" s="667"/>
      <c r="G1323" s="668"/>
      <c r="H1323" s="1408"/>
      <c r="I1323" s="65"/>
      <c r="J1323" s="66"/>
      <c r="K1323" s="1407"/>
      <c r="L1323" s="1409"/>
      <c r="M1323" s="668"/>
    </row>
    <row r="1324" spans="1:13" s="67" customFormat="1">
      <c r="A1324" s="1406"/>
      <c r="B1324" s="1407"/>
      <c r="C1324" s="668"/>
      <c r="D1324" s="666"/>
      <c r="E1324" s="667"/>
      <c r="F1324" s="667"/>
      <c r="G1324" s="668"/>
      <c r="H1324" s="1408"/>
      <c r="I1324" s="65"/>
      <c r="J1324" s="66"/>
      <c r="K1324" s="1407"/>
      <c r="L1324" s="1409"/>
      <c r="M1324" s="668"/>
    </row>
    <row r="1325" spans="1:13" s="67" customFormat="1">
      <c r="A1325" s="1406"/>
      <c r="B1325" s="1407"/>
      <c r="C1325" s="668"/>
      <c r="D1325" s="666"/>
      <c r="E1325" s="667"/>
      <c r="F1325" s="667"/>
      <c r="G1325" s="668"/>
      <c r="H1325" s="1408"/>
      <c r="I1325" s="65"/>
      <c r="J1325" s="66"/>
      <c r="K1325" s="1407"/>
      <c r="L1325" s="1409"/>
      <c r="M1325" s="668"/>
    </row>
    <row r="1326" spans="1:13" s="67" customFormat="1">
      <c r="A1326" s="1406"/>
      <c r="B1326" s="1407"/>
      <c r="C1326" s="668"/>
      <c r="D1326" s="666"/>
      <c r="E1326" s="667"/>
      <c r="F1326" s="667"/>
      <c r="G1326" s="668"/>
      <c r="H1326" s="1408"/>
      <c r="I1326" s="65"/>
      <c r="J1326" s="66"/>
      <c r="K1326" s="1407"/>
      <c r="L1326" s="1409"/>
      <c r="M1326" s="668"/>
    </row>
    <row r="1327" spans="1:13" s="67" customFormat="1">
      <c r="A1327" s="1406"/>
      <c r="B1327" s="1407"/>
      <c r="C1327" s="668"/>
      <c r="D1327" s="666"/>
      <c r="E1327" s="667"/>
      <c r="F1327" s="667"/>
      <c r="G1327" s="668"/>
      <c r="H1327" s="1408"/>
      <c r="I1327" s="65"/>
      <c r="J1327" s="66"/>
      <c r="K1327" s="1407"/>
      <c r="L1327" s="1409"/>
      <c r="M1327" s="668"/>
    </row>
    <row r="1328" spans="1:13" s="67" customFormat="1">
      <c r="A1328" s="1406"/>
      <c r="B1328" s="1407"/>
      <c r="C1328" s="668"/>
      <c r="D1328" s="666"/>
      <c r="E1328" s="667"/>
      <c r="F1328" s="667"/>
      <c r="G1328" s="668"/>
      <c r="H1328" s="1408"/>
      <c r="I1328" s="65"/>
      <c r="J1328" s="66"/>
      <c r="K1328" s="1407"/>
      <c r="L1328" s="1409"/>
      <c r="M1328" s="668"/>
    </row>
    <row r="1329" spans="1:13" s="67" customFormat="1">
      <c r="A1329" s="1406"/>
      <c r="B1329" s="1407"/>
      <c r="C1329" s="668"/>
      <c r="D1329" s="666"/>
      <c r="E1329" s="667"/>
      <c r="F1329" s="667"/>
      <c r="G1329" s="668"/>
      <c r="H1329" s="1408"/>
      <c r="I1329" s="65"/>
      <c r="J1329" s="66"/>
      <c r="K1329" s="1407"/>
      <c r="L1329" s="1409"/>
      <c r="M1329" s="668"/>
    </row>
    <row r="1330" spans="1:13" s="67" customFormat="1">
      <c r="A1330" s="1406"/>
      <c r="B1330" s="1407"/>
      <c r="C1330" s="668"/>
      <c r="D1330" s="666"/>
      <c r="E1330" s="667"/>
      <c r="F1330" s="667"/>
      <c r="G1330" s="668"/>
      <c r="H1330" s="1408"/>
      <c r="I1330" s="65"/>
      <c r="J1330" s="66"/>
      <c r="K1330" s="1407"/>
      <c r="L1330" s="1409"/>
      <c r="M1330" s="668"/>
    </row>
    <row r="1331" spans="1:13" s="67" customFormat="1">
      <c r="A1331" s="1406"/>
      <c r="B1331" s="1407"/>
      <c r="C1331" s="668"/>
      <c r="D1331" s="666"/>
      <c r="E1331" s="667"/>
      <c r="F1331" s="667"/>
      <c r="G1331" s="668"/>
      <c r="H1331" s="1408"/>
      <c r="I1331" s="65"/>
      <c r="J1331" s="66"/>
      <c r="K1331" s="1407"/>
      <c r="L1331" s="1409"/>
      <c r="M1331" s="668"/>
    </row>
    <row r="1332" spans="1:13" s="67" customFormat="1">
      <c r="A1332" s="1406"/>
      <c r="B1332" s="1407"/>
      <c r="C1332" s="668"/>
      <c r="D1332" s="666"/>
      <c r="E1332" s="667"/>
      <c r="F1332" s="667"/>
      <c r="G1332" s="668"/>
      <c r="H1332" s="1408"/>
      <c r="I1332" s="65"/>
      <c r="J1332" s="66"/>
      <c r="K1332" s="1407"/>
      <c r="L1332" s="1409"/>
      <c r="M1332" s="668"/>
    </row>
    <row r="1333" spans="1:13" s="67" customFormat="1">
      <c r="A1333" s="1406"/>
      <c r="B1333" s="1407"/>
      <c r="C1333" s="668"/>
      <c r="D1333" s="666"/>
      <c r="E1333" s="667"/>
      <c r="F1333" s="667"/>
      <c r="G1333" s="668"/>
      <c r="H1333" s="1408"/>
      <c r="I1333" s="65"/>
      <c r="J1333" s="66"/>
      <c r="K1333" s="1407"/>
      <c r="L1333" s="1409"/>
      <c r="M1333" s="668"/>
    </row>
    <row r="1334" spans="1:13" s="67" customFormat="1">
      <c r="A1334" s="1406"/>
      <c r="B1334" s="1407"/>
      <c r="C1334" s="668"/>
      <c r="D1334" s="666"/>
      <c r="E1334" s="667"/>
      <c r="F1334" s="667"/>
      <c r="G1334" s="668"/>
      <c r="H1334" s="1408"/>
      <c r="I1334" s="65"/>
      <c r="J1334" s="66"/>
      <c r="K1334" s="1407"/>
      <c r="L1334" s="1409"/>
      <c r="M1334" s="668"/>
    </row>
    <row r="1335" spans="1:13" s="67" customFormat="1">
      <c r="A1335" s="1406"/>
      <c r="B1335" s="1407"/>
      <c r="C1335" s="668"/>
      <c r="D1335" s="666"/>
      <c r="E1335" s="667"/>
      <c r="F1335" s="667"/>
      <c r="G1335" s="668"/>
      <c r="H1335" s="1408"/>
      <c r="I1335" s="65"/>
      <c r="J1335" s="66"/>
      <c r="K1335" s="1407"/>
      <c r="L1335" s="1409"/>
      <c r="M1335" s="668"/>
    </row>
    <row r="1336" spans="1:13" s="67" customFormat="1">
      <c r="A1336" s="1406"/>
      <c r="B1336" s="1407"/>
      <c r="C1336" s="668"/>
      <c r="D1336" s="666"/>
      <c r="E1336" s="667"/>
      <c r="F1336" s="667"/>
      <c r="G1336" s="668"/>
      <c r="H1336" s="1408"/>
      <c r="I1336" s="65"/>
      <c r="J1336" s="66"/>
      <c r="K1336" s="1407"/>
      <c r="L1336" s="1409"/>
      <c r="M1336" s="668"/>
    </row>
    <row r="1337" spans="1:13" s="67" customFormat="1">
      <c r="A1337" s="1406"/>
      <c r="B1337" s="1407"/>
      <c r="C1337" s="668"/>
      <c r="D1337" s="666"/>
      <c r="E1337" s="667"/>
      <c r="F1337" s="667"/>
      <c r="G1337" s="668"/>
      <c r="H1337" s="1408"/>
      <c r="I1337" s="65"/>
      <c r="J1337" s="66"/>
      <c r="K1337" s="1407"/>
      <c r="L1337" s="1409"/>
      <c r="M1337" s="668"/>
    </row>
    <row r="1338" spans="1:13" s="67" customFormat="1">
      <c r="A1338" s="1406"/>
      <c r="B1338" s="1407"/>
      <c r="C1338" s="668"/>
      <c r="D1338" s="666"/>
      <c r="E1338" s="667"/>
      <c r="F1338" s="667"/>
      <c r="G1338" s="668"/>
      <c r="H1338" s="1408"/>
      <c r="I1338" s="65"/>
      <c r="J1338" s="66"/>
      <c r="K1338" s="1407"/>
      <c r="L1338" s="1409"/>
      <c r="M1338" s="668"/>
    </row>
    <row r="1339" spans="1:13" s="67" customFormat="1">
      <c r="A1339" s="1406"/>
      <c r="B1339" s="1407"/>
      <c r="C1339" s="668"/>
      <c r="D1339" s="666"/>
      <c r="E1339" s="667"/>
      <c r="F1339" s="667"/>
      <c r="G1339" s="668"/>
      <c r="H1339" s="1408"/>
      <c r="I1339" s="65"/>
      <c r="J1339" s="66"/>
      <c r="K1339" s="1407"/>
      <c r="L1339" s="1409"/>
      <c r="M1339" s="668"/>
    </row>
    <row r="1340" spans="1:13" s="67" customFormat="1">
      <c r="A1340" s="1406"/>
      <c r="B1340" s="1407"/>
      <c r="C1340" s="668"/>
      <c r="D1340" s="666"/>
      <c r="E1340" s="667"/>
      <c r="F1340" s="667"/>
      <c r="G1340" s="668"/>
      <c r="H1340" s="1408"/>
      <c r="I1340" s="65"/>
      <c r="J1340" s="66"/>
      <c r="K1340" s="1407"/>
      <c r="L1340" s="1409"/>
      <c r="M1340" s="668"/>
    </row>
    <row r="1341" spans="1:13" s="67" customFormat="1">
      <c r="A1341" s="1406"/>
      <c r="B1341" s="1407"/>
      <c r="C1341" s="668"/>
      <c r="D1341" s="666"/>
      <c r="E1341" s="667"/>
      <c r="F1341" s="667"/>
      <c r="G1341" s="668"/>
      <c r="H1341" s="1408"/>
      <c r="I1341" s="65"/>
      <c r="J1341" s="66"/>
      <c r="K1341" s="1407"/>
      <c r="L1341" s="1409"/>
      <c r="M1341" s="668"/>
    </row>
    <row r="1342" spans="1:13" s="67" customFormat="1">
      <c r="A1342" s="1406"/>
      <c r="B1342" s="1407"/>
      <c r="C1342" s="668"/>
      <c r="D1342" s="666"/>
      <c r="E1342" s="667"/>
      <c r="F1342" s="667"/>
      <c r="G1342" s="668"/>
      <c r="H1342" s="1408"/>
      <c r="I1342" s="65"/>
      <c r="J1342" s="66"/>
      <c r="K1342" s="1407"/>
      <c r="L1342" s="1409"/>
      <c r="M1342" s="668"/>
    </row>
    <row r="1343" spans="1:13" s="67" customFormat="1">
      <c r="A1343" s="1406"/>
      <c r="B1343" s="1407"/>
      <c r="C1343" s="668"/>
      <c r="D1343" s="666"/>
      <c r="E1343" s="667"/>
      <c r="F1343" s="667"/>
      <c r="G1343" s="668"/>
      <c r="H1343" s="1408"/>
      <c r="I1343" s="65"/>
      <c r="J1343" s="66"/>
      <c r="K1343" s="1407"/>
      <c r="L1343" s="1409"/>
      <c r="M1343" s="668"/>
    </row>
    <row r="1344" spans="1:13" s="67" customFormat="1">
      <c r="A1344" s="1406"/>
      <c r="B1344" s="1407"/>
      <c r="C1344" s="668"/>
      <c r="D1344" s="666"/>
      <c r="E1344" s="667"/>
      <c r="F1344" s="667"/>
      <c r="G1344" s="668"/>
      <c r="H1344" s="1408"/>
      <c r="I1344" s="65"/>
      <c r="J1344" s="66"/>
      <c r="K1344" s="1407"/>
      <c r="L1344" s="1409"/>
      <c r="M1344" s="668"/>
    </row>
    <row r="1345" spans="1:13" s="67" customFormat="1">
      <c r="A1345" s="1406"/>
      <c r="B1345" s="1407"/>
      <c r="C1345" s="668"/>
      <c r="D1345" s="666"/>
      <c r="E1345" s="667"/>
      <c r="F1345" s="667"/>
      <c r="G1345" s="668"/>
      <c r="H1345" s="1408"/>
      <c r="I1345" s="65"/>
      <c r="J1345" s="66"/>
      <c r="K1345" s="1407"/>
      <c r="L1345" s="1409"/>
      <c r="M1345" s="668"/>
    </row>
    <row r="1346" spans="1:13" s="67" customFormat="1">
      <c r="A1346" s="1406"/>
      <c r="B1346" s="1407"/>
      <c r="C1346" s="668"/>
      <c r="D1346" s="666"/>
      <c r="E1346" s="667"/>
      <c r="F1346" s="667"/>
      <c r="G1346" s="668"/>
      <c r="H1346" s="1408"/>
      <c r="I1346" s="65"/>
      <c r="J1346" s="66"/>
      <c r="K1346" s="1407"/>
      <c r="L1346" s="1409"/>
      <c r="M1346" s="668"/>
    </row>
    <row r="1347" spans="1:13" s="67" customFormat="1">
      <c r="A1347" s="1406"/>
      <c r="B1347" s="1407"/>
      <c r="C1347" s="668"/>
      <c r="D1347" s="666"/>
      <c r="E1347" s="667"/>
      <c r="F1347" s="667"/>
      <c r="G1347" s="668"/>
      <c r="H1347" s="1408"/>
      <c r="I1347" s="65"/>
      <c r="J1347" s="66"/>
      <c r="K1347" s="1407"/>
      <c r="L1347" s="1409"/>
      <c r="M1347" s="668"/>
    </row>
    <row r="1348" spans="1:13" s="67" customFormat="1">
      <c r="A1348" s="1406"/>
      <c r="B1348" s="1407"/>
      <c r="C1348" s="668"/>
      <c r="D1348" s="666"/>
      <c r="E1348" s="667"/>
      <c r="F1348" s="667"/>
      <c r="G1348" s="668"/>
      <c r="H1348" s="1408"/>
      <c r="I1348" s="65"/>
      <c r="J1348" s="66"/>
      <c r="K1348" s="1407"/>
      <c r="L1348" s="1409"/>
      <c r="M1348" s="668"/>
    </row>
    <row r="1349" spans="1:13" s="67" customFormat="1">
      <c r="A1349" s="1406"/>
      <c r="B1349" s="1407"/>
      <c r="C1349" s="668"/>
      <c r="D1349" s="666"/>
      <c r="E1349" s="667"/>
      <c r="F1349" s="667"/>
      <c r="G1349" s="668"/>
      <c r="H1349" s="1408"/>
      <c r="I1349" s="65"/>
      <c r="J1349" s="66"/>
      <c r="K1349" s="1407"/>
      <c r="L1349" s="1409"/>
      <c r="M1349" s="668"/>
    </row>
    <row r="1350" spans="1:13" s="67" customFormat="1">
      <c r="A1350" s="1406"/>
      <c r="B1350" s="1407"/>
      <c r="C1350" s="668"/>
      <c r="D1350" s="666"/>
      <c r="E1350" s="667"/>
      <c r="F1350" s="667"/>
      <c r="G1350" s="668"/>
      <c r="H1350" s="1408"/>
      <c r="I1350" s="65"/>
      <c r="J1350" s="66"/>
      <c r="K1350" s="1407"/>
      <c r="L1350" s="1409"/>
      <c r="M1350" s="668"/>
    </row>
    <row r="1351" spans="1:13" s="67" customFormat="1">
      <c r="A1351" s="1406"/>
      <c r="B1351" s="1407"/>
      <c r="C1351" s="668"/>
      <c r="D1351" s="666"/>
      <c r="E1351" s="667"/>
      <c r="F1351" s="667"/>
      <c r="G1351" s="668"/>
      <c r="H1351" s="1408"/>
      <c r="I1351" s="65"/>
      <c r="J1351" s="66"/>
      <c r="K1351" s="1407"/>
      <c r="L1351" s="1409"/>
      <c r="M1351" s="668"/>
    </row>
    <row r="1352" spans="1:13" s="67" customFormat="1">
      <c r="A1352" s="1406"/>
      <c r="B1352" s="1407"/>
      <c r="C1352" s="668"/>
      <c r="D1352" s="666"/>
      <c r="E1352" s="667"/>
      <c r="F1352" s="667"/>
      <c r="G1352" s="668"/>
      <c r="H1352" s="1408"/>
      <c r="I1352" s="65"/>
      <c r="J1352" s="66"/>
      <c r="K1352" s="1407"/>
      <c r="L1352" s="1409"/>
      <c r="M1352" s="668"/>
    </row>
    <row r="1353" spans="1:13" s="67" customFormat="1">
      <c r="A1353" s="1406"/>
      <c r="B1353" s="1407"/>
      <c r="C1353" s="668"/>
      <c r="D1353" s="666"/>
      <c r="E1353" s="667"/>
      <c r="F1353" s="667"/>
      <c r="G1353" s="668"/>
      <c r="H1353" s="1408"/>
      <c r="I1353" s="65"/>
      <c r="J1353" s="66"/>
      <c r="K1353" s="1407"/>
      <c r="L1353" s="1409"/>
      <c r="M1353" s="668"/>
    </row>
    <row r="1354" spans="1:13" s="67" customFormat="1">
      <c r="A1354" s="1406"/>
      <c r="B1354" s="1407"/>
      <c r="C1354" s="668"/>
      <c r="D1354" s="666"/>
      <c r="E1354" s="667"/>
      <c r="F1354" s="667"/>
      <c r="G1354" s="668"/>
      <c r="H1354" s="1408"/>
      <c r="I1354" s="65"/>
      <c r="J1354" s="66"/>
      <c r="K1354" s="1407"/>
      <c r="L1354" s="1409"/>
      <c r="M1354" s="668"/>
    </row>
    <row r="1355" spans="1:13" s="67" customFormat="1">
      <c r="A1355" s="1406"/>
      <c r="B1355" s="1407"/>
      <c r="C1355" s="668"/>
      <c r="D1355" s="666"/>
      <c r="E1355" s="667"/>
      <c r="F1355" s="667"/>
      <c r="G1355" s="668"/>
      <c r="H1355" s="1408"/>
      <c r="I1355" s="65"/>
      <c r="J1355" s="66"/>
      <c r="K1355" s="1407"/>
      <c r="L1355" s="1409"/>
      <c r="M1355" s="668"/>
    </row>
    <row r="1356" spans="1:13" s="67" customFormat="1">
      <c r="A1356" s="1406"/>
      <c r="B1356" s="1407"/>
      <c r="C1356" s="668"/>
      <c r="D1356" s="666"/>
      <c r="E1356" s="667"/>
      <c r="F1356" s="667"/>
      <c r="G1356" s="668"/>
      <c r="H1356" s="1408"/>
      <c r="I1356" s="65"/>
      <c r="J1356" s="66"/>
      <c r="K1356" s="1407"/>
      <c r="L1356" s="1409"/>
      <c r="M1356" s="668"/>
    </row>
    <row r="1357" spans="1:13" s="67" customFormat="1">
      <c r="A1357" s="1406"/>
      <c r="B1357" s="1407"/>
      <c r="C1357" s="668"/>
      <c r="D1357" s="666"/>
      <c r="E1357" s="667"/>
      <c r="F1357" s="667"/>
      <c r="G1357" s="668"/>
      <c r="H1357" s="1408"/>
      <c r="I1357" s="65"/>
      <c r="J1357" s="66"/>
      <c r="K1357" s="1407"/>
      <c r="L1357" s="1409"/>
      <c r="M1357" s="668"/>
    </row>
    <row r="1358" spans="1:13" s="67" customFormat="1">
      <c r="A1358" s="1406"/>
      <c r="B1358" s="1407"/>
      <c r="C1358" s="668"/>
      <c r="D1358" s="666"/>
      <c r="E1358" s="667"/>
      <c r="F1358" s="667"/>
      <c r="G1358" s="668"/>
      <c r="H1358" s="1408"/>
      <c r="I1358" s="65"/>
      <c r="J1358" s="66"/>
      <c r="K1358" s="1407"/>
      <c r="L1358" s="1409"/>
      <c r="M1358" s="668"/>
    </row>
    <row r="1359" spans="1:13" s="67" customFormat="1">
      <c r="A1359" s="1406"/>
      <c r="B1359" s="1407"/>
      <c r="C1359" s="668"/>
      <c r="D1359" s="666"/>
      <c r="E1359" s="667"/>
      <c r="F1359" s="667"/>
      <c r="G1359" s="668"/>
      <c r="H1359" s="1408"/>
      <c r="I1359" s="65"/>
      <c r="J1359" s="66"/>
      <c r="K1359" s="1407"/>
      <c r="L1359" s="1409"/>
      <c r="M1359" s="668"/>
    </row>
    <row r="1360" spans="1:13" s="67" customFormat="1">
      <c r="A1360" s="1406"/>
      <c r="B1360" s="1407"/>
      <c r="C1360" s="668"/>
      <c r="D1360" s="666"/>
      <c r="E1360" s="667"/>
      <c r="F1360" s="667"/>
      <c r="G1360" s="668"/>
      <c r="H1360" s="1408"/>
      <c r="I1360" s="65"/>
      <c r="J1360" s="66"/>
      <c r="K1360" s="1407"/>
      <c r="L1360" s="1409"/>
      <c r="M1360" s="668"/>
    </row>
    <row r="1361" spans="1:13" s="67" customFormat="1">
      <c r="A1361" s="1406"/>
      <c r="B1361" s="1407"/>
      <c r="C1361" s="668"/>
      <c r="D1361" s="666"/>
      <c r="E1361" s="667"/>
      <c r="F1361" s="667"/>
      <c r="G1361" s="668"/>
      <c r="H1361" s="1408"/>
      <c r="I1361" s="65"/>
      <c r="J1361" s="66"/>
      <c r="K1361" s="1407"/>
      <c r="L1361" s="1409"/>
      <c r="M1361" s="668"/>
    </row>
    <row r="1362" spans="1:13" s="67" customFormat="1">
      <c r="A1362" s="1406"/>
      <c r="B1362" s="1407"/>
      <c r="C1362" s="668"/>
      <c r="D1362" s="666"/>
      <c r="E1362" s="667"/>
      <c r="F1362" s="667"/>
      <c r="G1362" s="668"/>
      <c r="H1362" s="1408"/>
      <c r="I1362" s="65"/>
      <c r="J1362" s="66"/>
      <c r="K1362" s="1407"/>
      <c r="L1362" s="1409"/>
      <c r="M1362" s="668"/>
    </row>
    <row r="1363" spans="1:13" s="67" customFormat="1">
      <c r="A1363" s="1406"/>
      <c r="B1363" s="1407"/>
      <c r="C1363" s="668"/>
      <c r="D1363" s="666"/>
      <c r="E1363" s="667"/>
      <c r="F1363" s="667"/>
      <c r="G1363" s="668"/>
      <c r="H1363" s="1408"/>
      <c r="I1363" s="65"/>
      <c r="J1363" s="66"/>
      <c r="K1363" s="1407"/>
      <c r="L1363" s="1409"/>
      <c r="M1363" s="668"/>
    </row>
    <row r="1364" spans="1:13" s="67" customFormat="1">
      <c r="A1364" s="1406"/>
      <c r="B1364" s="1407"/>
      <c r="C1364" s="668"/>
      <c r="D1364" s="666"/>
      <c r="E1364" s="667"/>
      <c r="F1364" s="667"/>
      <c r="G1364" s="668"/>
      <c r="H1364" s="1408"/>
      <c r="I1364" s="65"/>
      <c r="J1364" s="66"/>
      <c r="K1364" s="1407"/>
      <c r="L1364" s="1409"/>
      <c r="M1364" s="668"/>
    </row>
    <row r="1365" spans="1:13" s="67" customFormat="1">
      <c r="A1365" s="1406"/>
      <c r="B1365" s="1407"/>
      <c r="C1365" s="668"/>
      <c r="D1365" s="666"/>
      <c r="E1365" s="667"/>
      <c r="F1365" s="667"/>
      <c r="G1365" s="668"/>
      <c r="H1365" s="1408"/>
      <c r="I1365" s="65"/>
      <c r="J1365" s="66"/>
      <c r="K1365" s="1407"/>
      <c r="L1365" s="1409"/>
      <c r="M1365" s="668"/>
    </row>
    <row r="1366" spans="1:13" s="67" customFormat="1">
      <c r="A1366" s="1406"/>
      <c r="B1366" s="1407"/>
      <c r="C1366" s="668"/>
      <c r="D1366" s="666"/>
      <c r="E1366" s="667"/>
      <c r="F1366" s="667"/>
      <c r="G1366" s="668"/>
      <c r="H1366" s="1408"/>
      <c r="I1366" s="65"/>
      <c r="J1366" s="66"/>
      <c r="K1366" s="1407"/>
      <c r="L1366" s="1409"/>
      <c r="M1366" s="668"/>
    </row>
    <row r="1367" spans="1:13" s="67" customFormat="1">
      <c r="A1367" s="1406"/>
      <c r="B1367" s="1407"/>
      <c r="C1367" s="668"/>
      <c r="D1367" s="666"/>
      <c r="E1367" s="667"/>
      <c r="F1367" s="667"/>
      <c r="G1367" s="668"/>
      <c r="H1367" s="1408"/>
      <c r="I1367" s="65"/>
      <c r="J1367" s="66"/>
      <c r="K1367" s="1407"/>
      <c r="L1367" s="1409"/>
      <c r="M1367" s="668"/>
    </row>
    <row r="1368" spans="1:13" s="67" customFormat="1">
      <c r="A1368" s="1406"/>
      <c r="B1368" s="1407"/>
      <c r="C1368" s="668"/>
      <c r="D1368" s="666"/>
      <c r="E1368" s="667"/>
      <c r="F1368" s="667"/>
      <c r="G1368" s="668"/>
      <c r="H1368" s="1408"/>
      <c r="I1368" s="65"/>
      <c r="J1368" s="66"/>
      <c r="K1368" s="1407"/>
      <c r="L1368" s="1409"/>
      <c r="M1368" s="668"/>
    </row>
    <row r="1369" spans="1:13" s="67" customFormat="1">
      <c r="A1369" s="1406"/>
      <c r="B1369" s="1407"/>
      <c r="C1369" s="668"/>
      <c r="D1369" s="666"/>
      <c r="E1369" s="667"/>
      <c r="F1369" s="667"/>
      <c r="G1369" s="668"/>
      <c r="H1369" s="1408"/>
      <c r="I1369" s="65"/>
      <c r="J1369" s="66"/>
      <c r="K1369" s="1407"/>
      <c r="L1369" s="1409"/>
      <c r="M1369" s="668"/>
    </row>
    <row r="1370" spans="1:13" s="67" customFormat="1">
      <c r="A1370" s="1406"/>
      <c r="B1370" s="1407"/>
      <c r="C1370" s="668"/>
      <c r="D1370" s="666"/>
      <c r="E1370" s="667"/>
      <c r="F1370" s="667"/>
      <c r="G1370" s="668"/>
      <c r="H1370" s="1408"/>
      <c r="I1370" s="65"/>
      <c r="J1370" s="66"/>
      <c r="K1370" s="1407"/>
      <c r="L1370" s="1409"/>
      <c r="M1370" s="668"/>
    </row>
    <row r="1371" spans="1:13" s="67" customFormat="1">
      <c r="A1371" s="1406"/>
      <c r="B1371" s="1407"/>
      <c r="C1371" s="668"/>
      <c r="D1371" s="666"/>
      <c r="E1371" s="667"/>
      <c r="F1371" s="667"/>
      <c r="G1371" s="668"/>
      <c r="H1371" s="1408"/>
      <c r="I1371" s="65"/>
      <c r="J1371" s="66"/>
      <c r="K1371" s="1407"/>
      <c r="L1371" s="1409"/>
      <c r="M1371" s="668"/>
    </row>
    <row r="1372" spans="1:13" s="67" customFormat="1">
      <c r="A1372" s="1406"/>
      <c r="B1372" s="1407"/>
      <c r="C1372" s="668"/>
      <c r="D1372" s="666"/>
      <c r="E1372" s="667"/>
      <c r="F1372" s="667"/>
      <c r="G1372" s="668"/>
      <c r="H1372" s="1408"/>
      <c r="I1372" s="65"/>
      <c r="J1372" s="66"/>
      <c r="K1372" s="1407"/>
      <c r="L1372" s="1409"/>
      <c r="M1372" s="668"/>
    </row>
    <row r="1373" spans="1:13" s="67" customFormat="1">
      <c r="A1373" s="1406"/>
      <c r="B1373" s="1407"/>
      <c r="C1373" s="668"/>
      <c r="D1373" s="666"/>
      <c r="E1373" s="667"/>
      <c r="F1373" s="667"/>
      <c r="G1373" s="668"/>
      <c r="H1373" s="1408"/>
      <c r="I1373" s="65"/>
      <c r="J1373" s="66"/>
      <c r="K1373" s="1407"/>
      <c r="L1373" s="1409"/>
      <c r="M1373" s="668"/>
    </row>
    <row r="1374" spans="1:13" s="67" customFormat="1">
      <c r="A1374" s="1406"/>
      <c r="B1374" s="1407"/>
      <c r="C1374" s="668"/>
      <c r="D1374" s="666"/>
      <c r="E1374" s="667"/>
      <c r="F1374" s="667"/>
      <c r="G1374" s="668"/>
      <c r="H1374" s="1408"/>
      <c r="I1374" s="65"/>
      <c r="J1374" s="66"/>
      <c r="K1374" s="1407"/>
      <c r="L1374" s="1409"/>
      <c r="M1374" s="668"/>
    </row>
    <row r="1375" spans="1:13" s="67" customFormat="1">
      <c r="A1375" s="1406"/>
      <c r="B1375" s="1407"/>
      <c r="C1375" s="668"/>
      <c r="D1375" s="666"/>
      <c r="E1375" s="667"/>
      <c r="F1375" s="667"/>
      <c r="G1375" s="668"/>
      <c r="H1375" s="1408"/>
      <c r="I1375" s="65"/>
      <c r="J1375" s="66"/>
      <c r="K1375" s="1407"/>
      <c r="L1375" s="1409"/>
      <c r="M1375" s="668"/>
    </row>
    <row r="1376" spans="1:13" s="67" customFormat="1">
      <c r="A1376" s="1406"/>
      <c r="B1376" s="1407"/>
      <c r="C1376" s="668"/>
      <c r="D1376" s="666"/>
      <c r="E1376" s="667"/>
      <c r="F1376" s="667"/>
      <c r="G1376" s="668"/>
      <c r="H1376" s="1408"/>
      <c r="I1376" s="65"/>
      <c r="J1376" s="66"/>
      <c r="K1376" s="1407"/>
      <c r="L1376" s="1409"/>
      <c r="M1376" s="668"/>
    </row>
    <row r="1377" spans="1:13" s="67" customFormat="1">
      <c r="A1377" s="1406"/>
      <c r="B1377" s="1407"/>
      <c r="C1377" s="668"/>
      <c r="D1377" s="666"/>
      <c r="E1377" s="667"/>
      <c r="F1377" s="667"/>
      <c r="G1377" s="668"/>
      <c r="H1377" s="1408"/>
      <c r="I1377" s="65"/>
      <c r="J1377" s="66"/>
      <c r="K1377" s="1407"/>
      <c r="L1377" s="1409"/>
      <c r="M1377" s="668"/>
    </row>
    <row r="1378" spans="1:13" s="67" customFormat="1">
      <c r="A1378" s="1406"/>
      <c r="B1378" s="1407"/>
      <c r="C1378" s="668"/>
      <c r="D1378" s="666"/>
      <c r="E1378" s="667"/>
      <c r="F1378" s="667"/>
      <c r="G1378" s="668"/>
      <c r="H1378" s="1408"/>
      <c r="I1378" s="65"/>
      <c r="J1378" s="66"/>
      <c r="K1378" s="1407"/>
      <c r="L1378" s="1409"/>
      <c r="M1378" s="668"/>
    </row>
    <row r="1379" spans="1:13" s="67" customFormat="1">
      <c r="A1379" s="1406"/>
      <c r="B1379" s="1407"/>
      <c r="C1379" s="668"/>
      <c r="D1379" s="666"/>
      <c r="E1379" s="667"/>
      <c r="F1379" s="667"/>
      <c r="G1379" s="668"/>
      <c r="H1379" s="1408"/>
      <c r="I1379" s="65"/>
      <c r="J1379" s="66"/>
      <c r="K1379" s="1407"/>
      <c r="L1379" s="1409"/>
      <c r="M1379" s="668"/>
    </row>
    <row r="1380" spans="1:13" s="67" customFormat="1">
      <c r="A1380" s="1406"/>
      <c r="B1380" s="1407"/>
      <c r="C1380" s="668"/>
      <c r="D1380" s="666"/>
      <c r="E1380" s="667"/>
      <c r="F1380" s="667"/>
      <c r="G1380" s="668"/>
      <c r="H1380" s="1408"/>
      <c r="I1380" s="65"/>
      <c r="J1380" s="66"/>
      <c r="K1380" s="1407"/>
      <c r="L1380" s="1409"/>
      <c r="M1380" s="668"/>
    </row>
    <row r="1381" spans="1:13" s="67" customFormat="1">
      <c r="A1381" s="1406"/>
      <c r="B1381" s="1407"/>
      <c r="C1381" s="668"/>
      <c r="D1381" s="666"/>
      <c r="E1381" s="667"/>
      <c r="F1381" s="667"/>
      <c r="G1381" s="668"/>
      <c r="H1381" s="1408"/>
      <c r="I1381" s="65"/>
      <c r="J1381" s="66"/>
      <c r="K1381" s="1407"/>
      <c r="L1381" s="1409"/>
      <c r="M1381" s="668"/>
    </row>
    <row r="1382" spans="1:13" s="67" customFormat="1">
      <c r="A1382" s="1406"/>
      <c r="B1382" s="1407"/>
      <c r="C1382" s="668"/>
      <c r="D1382" s="666"/>
      <c r="E1382" s="667"/>
      <c r="F1382" s="667"/>
      <c r="G1382" s="668"/>
      <c r="H1382" s="1408"/>
      <c r="I1382" s="65"/>
      <c r="J1382" s="66"/>
      <c r="K1382" s="1407"/>
      <c r="L1382" s="1409"/>
      <c r="M1382" s="668"/>
    </row>
    <row r="1383" spans="1:13" s="67" customFormat="1">
      <c r="A1383" s="1406"/>
      <c r="B1383" s="1407"/>
      <c r="C1383" s="668"/>
      <c r="D1383" s="666"/>
      <c r="E1383" s="667"/>
      <c r="F1383" s="667"/>
      <c r="G1383" s="668"/>
      <c r="H1383" s="1408"/>
      <c r="I1383" s="65"/>
      <c r="J1383" s="66"/>
      <c r="K1383" s="1407"/>
      <c r="L1383" s="1409"/>
      <c r="M1383" s="668"/>
    </row>
    <row r="1384" spans="1:13" s="67" customFormat="1">
      <c r="A1384" s="1406"/>
      <c r="B1384" s="1407"/>
      <c r="C1384" s="668"/>
      <c r="D1384" s="666"/>
      <c r="E1384" s="667"/>
      <c r="F1384" s="667"/>
      <c r="G1384" s="668"/>
      <c r="H1384" s="1408"/>
      <c r="I1384" s="65"/>
      <c r="J1384" s="66"/>
      <c r="K1384" s="1407"/>
      <c r="L1384" s="1409"/>
      <c r="M1384" s="668"/>
    </row>
    <row r="1385" spans="1:13" s="67" customFormat="1">
      <c r="A1385" s="1406"/>
      <c r="B1385" s="1407"/>
      <c r="C1385" s="668"/>
      <c r="D1385" s="666"/>
      <c r="E1385" s="667"/>
      <c r="F1385" s="667"/>
      <c r="G1385" s="668"/>
      <c r="H1385" s="1408"/>
      <c r="I1385" s="65"/>
      <c r="J1385" s="66"/>
      <c r="K1385" s="1407"/>
      <c r="L1385" s="1409"/>
      <c r="M1385" s="668"/>
    </row>
    <row r="1386" spans="1:13" s="67" customFormat="1">
      <c r="A1386" s="1406"/>
      <c r="B1386" s="1407"/>
      <c r="C1386" s="668"/>
      <c r="D1386" s="666"/>
      <c r="E1386" s="667"/>
      <c r="F1386" s="667"/>
      <c r="G1386" s="668"/>
      <c r="H1386" s="1408"/>
      <c r="I1386" s="65"/>
      <c r="J1386" s="66"/>
      <c r="K1386" s="1407"/>
      <c r="L1386" s="1409"/>
      <c r="M1386" s="668"/>
    </row>
    <row r="1387" spans="1:13" s="67" customFormat="1">
      <c r="A1387" s="1406"/>
      <c r="B1387" s="1407"/>
      <c r="C1387" s="668"/>
      <c r="D1387" s="666"/>
      <c r="E1387" s="667"/>
      <c r="F1387" s="667"/>
      <c r="G1387" s="668"/>
      <c r="H1387" s="1408"/>
      <c r="I1387" s="65"/>
      <c r="J1387" s="66"/>
      <c r="K1387" s="1407"/>
      <c r="L1387" s="1409"/>
      <c r="M1387" s="668"/>
    </row>
    <row r="1388" spans="1:13" s="67" customFormat="1">
      <c r="A1388" s="1406"/>
      <c r="B1388" s="1407"/>
      <c r="C1388" s="668"/>
      <c r="D1388" s="666"/>
      <c r="E1388" s="667"/>
      <c r="F1388" s="667"/>
      <c r="G1388" s="668"/>
      <c r="H1388" s="1408"/>
      <c r="I1388" s="65"/>
      <c r="J1388" s="66"/>
      <c r="K1388" s="1407"/>
      <c r="L1388" s="1409"/>
      <c r="M1388" s="668"/>
    </row>
    <row r="1389" spans="1:13" s="67" customFormat="1">
      <c r="A1389" s="1406"/>
      <c r="B1389" s="1407"/>
      <c r="C1389" s="668"/>
      <c r="D1389" s="666"/>
      <c r="E1389" s="667"/>
      <c r="F1389" s="667"/>
      <c r="G1389" s="668"/>
      <c r="H1389" s="1408"/>
      <c r="I1389" s="65"/>
      <c r="J1389" s="66"/>
      <c r="K1389" s="1407"/>
      <c r="L1389" s="1409"/>
      <c r="M1389" s="668"/>
    </row>
    <row r="1390" spans="1:13" s="67" customFormat="1">
      <c r="A1390" s="1406"/>
      <c r="B1390" s="1407"/>
      <c r="C1390" s="668"/>
      <c r="D1390" s="666"/>
      <c r="E1390" s="667"/>
      <c r="F1390" s="667"/>
      <c r="G1390" s="668"/>
      <c r="H1390" s="1408"/>
      <c r="I1390" s="65"/>
      <c r="J1390" s="66"/>
      <c r="K1390" s="1407"/>
      <c r="L1390" s="1409"/>
      <c r="M1390" s="668"/>
    </row>
    <row r="1391" spans="1:13" s="67" customFormat="1">
      <c r="A1391" s="1406"/>
      <c r="B1391" s="1407"/>
      <c r="C1391" s="668"/>
      <c r="D1391" s="666"/>
      <c r="E1391" s="667"/>
      <c r="F1391" s="667"/>
      <c r="G1391" s="668"/>
      <c r="H1391" s="1408"/>
      <c r="I1391" s="65"/>
      <c r="J1391" s="66"/>
      <c r="K1391" s="1407"/>
      <c r="L1391" s="1409"/>
      <c r="M1391" s="668"/>
    </row>
    <row r="1392" spans="1:13" s="67" customFormat="1">
      <c r="A1392" s="1406"/>
      <c r="B1392" s="1407"/>
      <c r="C1392" s="668"/>
      <c r="D1392" s="666"/>
      <c r="E1392" s="667"/>
      <c r="F1392" s="667"/>
      <c r="G1392" s="668"/>
      <c r="H1392" s="1408"/>
      <c r="I1392" s="65"/>
      <c r="J1392" s="66"/>
      <c r="K1392" s="1407"/>
      <c r="L1392" s="1409"/>
      <c r="M1392" s="668"/>
    </row>
    <row r="1393" spans="1:13" s="67" customFormat="1">
      <c r="A1393" s="1406"/>
      <c r="B1393" s="1407"/>
      <c r="C1393" s="668"/>
      <c r="D1393" s="666"/>
      <c r="E1393" s="667"/>
      <c r="F1393" s="667"/>
      <c r="G1393" s="668"/>
      <c r="H1393" s="1408"/>
      <c r="I1393" s="65"/>
      <c r="J1393" s="66"/>
      <c r="K1393" s="1407"/>
      <c r="L1393" s="1409"/>
      <c r="M1393" s="668"/>
    </row>
    <row r="1394" spans="1:13" s="67" customFormat="1">
      <c r="A1394" s="1406"/>
      <c r="B1394" s="1407"/>
      <c r="C1394" s="668"/>
      <c r="D1394" s="666"/>
      <c r="E1394" s="667"/>
      <c r="F1394" s="667"/>
      <c r="G1394" s="668"/>
      <c r="H1394" s="1408"/>
      <c r="I1394" s="65"/>
      <c r="J1394" s="66"/>
      <c r="K1394" s="1407"/>
      <c r="L1394" s="1409"/>
      <c r="M1394" s="668"/>
    </row>
    <row r="1395" spans="1:13" s="67" customFormat="1">
      <c r="A1395" s="1406"/>
      <c r="B1395" s="1407"/>
      <c r="C1395" s="668"/>
      <c r="D1395" s="666"/>
      <c r="E1395" s="667"/>
      <c r="F1395" s="667"/>
      <c r="G1395" s="668"/>
      <c r="H1395" s="1408"/>
      <c r="I1395" s="65"/>
      <c r="J1395" s="66"/>
      <c r="K1395" s="1407"/>
      <c r="L1395" s="1409"/>
      <c r="M1395" s="668"/>
    </row>
    <row r="1396" spans="1:13" s="67" customFormat="1">
      <c r="A1396" s="1406"/>
      <c r="B1396" s="1407"/>
      <c r="C1396" s="668"/>
      <c r="D1396" s="666"/>
      <c r="E1396" s="667"/>
      <c r="F1396" s="667"/>
      <c r="G1396" s="668"/>
      <c r="H1396" s="1408"/>
      <c r="I1396" s="65"/>
      <c r="J1396" s="66"/>
      <c r="K1396" s="1407"/>
      <c r="L1396" s="1409"/>
      <c r="M1396" s="668"/>
    </row>
    <row r="1397" spans="1:13" s="67" customFormat="1">
      <c r="A1397" s="1406"/>
      <c r="B1397" s="1407"/>
      <c r="C1397" s="668"/>
      <c r="D1397" s="666"/>
      <c r="E1397" s="667"/>
      <c r="F1397" s="667"/>
      <c r="G1397" s="668"/>
      <c r="H1397" s="1408"/>
      <c r="I1397" s="65"/>
      <c r="J1397" s="66"/>
      <c r="K1397" s="1407"/>
      <c r="L1397" s="1409"/>
      <c r="M1397" s="668"/>
    </row>
    <row r="1398" spans="1:13" s="67" customFormat="1">
      <c r="A1398" s="1406"/>
      <c r="B1398" s="1407"/>
      <c r="C1398" s="668"/>
      <c r="D1398" s="666"/>
      <c r="E1398" s="667"/>
      <c r="F1398" s="667"/>
      <c r="G1398" s="668"/>
      <c r="H1398" s="1408"/>
      <c r="I1398" s="65"/>
      <c r="J1398" s="66"/>
      <c r="K1398" s="1407"/>
      <c r="L1398" s="1409"/>
      <c r="M1398" s="668"/>
    </row>
    <row r="1399" spans="1:13" s="67" customFormat="1">
      <c r="A1399" s="1406"/>
      <c r="B1399" s="1407"/>
      <c r="C1399" s="668"/>
      <c r="D1399" s="666"/>
      <c r="E1399" s="667"/>
      <c r="F1399" s="667"/>
      <c r="G1399" s="668"/>
      <c r="H1399" s="1408"/>
      <c r="I1399" s="65"/>
      <c r="J1399" s="66"/>
      <c r="K1399" s="1407"/>
      <c r="L1399" s="1409"/>
      <c r="M1399" s="668"/>
    </row>
    <row r="1400" spans="1:13" s="67" customFormat="1">
      <c r="A1400" s="1406"/>
      <c r="B1400" s="1407"/>
      <c r="C1400" s="668"/>
      <c r="D1400" s="666"/>
      <c r="E1400" s="667"/>
      <c r="F1400" s="667"/>
      <c r="G1400" s="668"/>
      <c r="H1400" s="1408"/>
      <c r="I1400" s="65"/>
      <c r="J1400" s="66"/>
      <c r="K1400" s="1407"/>
      <c r="L1400" s="1409"/>
      <c r="M1400" s="668"/>
    </row>
    <row r="1401" spans="1:13" s="67" customFormat="1">
      <c r="A1401" s="1406"/>
      <c r="B1401" s="1407"/>
      <c r="C1401" s="668"/>
      <c r="D1401" s="666"/>
      <c r="E1401" s="667"/>
      <c r="F1401" s="667"/>
      <c r="G1401" s="668"/>
      <c r="H1401" s="1408"/>
      <c r="I1401" s="65"/>
      <c r="J1401" s="66"/>
      <c r="K1401" s="1407"/>
      <c r="L1401" s="1409"/>
      <c r="M1401" s="668"/>
    </row>
    <row r="1402" spans="1:13" s="67" customFormat="1">
      <c r="A1402" s="1406"/>
      <c r="B1402" s="1407"/>
      <c r="C1402" s="668"/>
      <c r="D1402" s="666"/>
      <c r="E1402" s="667"/>
      <c r="F1402" s="667"/>
      <c r="G1402" s="668"/>
      <c r="H1402" s="1408"/>
      <c r="I1402" s="65"/>
      <c r="J1402" s="66"/>
      <c r="K1402" s="1407"/>
      <c r="L1402" s="1409"/>
      <c r="M1402" s="668"/>
    </row>
    <row r="1403" spans="1:13" s="67" customFormat="1">
      <c r="A1403" s="1406"/>
      <c r="B1403" s="1407"/>
      <c r="C1403" s="668"/>
      <c r="D1403" s="666"/>
      <c r="E1403" s="667"/>
      <c r="F1403" s="667"/>
      <c r="G1403" s="668"/>
      <c r="H1403" s="1408"/>
      <c r="I1403" s="65"/>
      <c r="J1403" s="66"/>
      <c r="K1403" s="1407"/>
      <c r="L1403" s="1409"/>
      <c r="M1403" s="668"/>
    </row>
    <row r="1404" spans="1:13" s="67" customFormat="1">
      <c r="A1404" s="1406"/>
      <c r="B1404" s="1407"/>
      <c r="C1404" s="668"/>
      <c r="D1404" s="666"/>
      <c r="E1404" s="667"/>
      <c r="F1404" s="667"/>
      <c r="G1404" s="668"/>
      <c r="H1404" s="1408"/>
      <c r="I1404" s="65"/>
      <c r="J1404" s="66"/>
      <c r="K1404" s="1407"/>
      <c r="L1404" s="1409"/>
      <c r="M1404" s="668"/>
    </row>
    <row r="1405" spans="1:13" s="67" customFormat="1">
      <c r="A1405" s="1406"/>
      <c r="B1405" s="1407"/>
      <c r="C1405" s="668"/>
      <c r="D1405" s="666"/>
      <c r="E1405" s="667"/>
      <c r="F1405" s="667"/>
      <c r="G1405" s="668"/>
      <c r="H1405" s="1408"/>
      <c r="I1405" s="65"/>
      <c r="J1405" s="66"/>
      <c r="K1405" s="1407"/>
      <c r="L1405" s="1409"/>
      <c r="M1405" s="668"/>
    </row>
    <row r="1406" spans="1:13" s="67" customFormat="1">
      <c r="A1406" s="1406"/>
      <c r="B1406" s="1407"/>
      <c r="C1406" s="668"/>
      <c r="D1406" s="666"/>
      <c r="E1406" s="667"/>
      <c r="F1406" s="667"/>
      <c r="G1406" s="668"/>
      <c r="H1406" s="1408"/>
      <c r="I1406" s="65"/>
      <c r="J1406" s="66"/>
      <c r="K1406" s="1407"/>
      <c r="L1406" s="1409"/>
      <c r="M1406" s="668"/>
    </row>
    <row r="1407" spans="1:13" s="67" customFormat="1">
      <c r="A1407" s="1406"/>
      <c r="B1407" s="1407"/>
      <c r="C1407" s="668"/>
      <c r="D1407" s="666"/>
      <c r="E1407" s="667"/>
      <c r="F1407" s="667"/>
      <c r="G1407" s="668"/>
      <c r="H1407" s="1408"/>
      <c r="I1407" s="65"/>
      <c r="J1407" s="66"/>
      <c r="K1407" s="1407"/>
      <c r="L1407" s="1409"/>
      <c r="M1407" s="668"/>
    </row>
    <row r="1408" spans="1:13" s="67" customFormat="1">
      <c r="A1408" s="1406"/>
      <c r="B1408" s="1407"/>
      <c r="C1408" s="668"/>
      <c r="D1408" s="666"/>
      <c r="E1408" s="667"/>
      <c r="F1408" s="667"/>
      <c r="G1408" s="668"/>
      <c r="H1408" s="1408"/>
      <c r="I1408" s="65"/>
      <c r="J1408" s="66"/>
      <c r="K1408" s="1407"/>
      <c r="L1408" s="1409"/>
      <c r="M1408" s="668"/>
    </row>
    <row r="1409" spans="1:13" s="67" customFormat="1">
      <c r="A1409" s="1406"/>
      <c r="B1409" s="1407"/>
      <c r="C1409" s="668"/>
      <c r="D1409" s="666"/>
      <c r="E1409" s="667"/>
      <c r="F1409" s="667"/>
      <c r="G1409" s="668"/>
      <c r="H1409" s="1408"/>
      <c r="I1409" s="65"/>
      <c r="J1409" s="66"/>
      <c r="K1409" s="1407"/>
      <c r="L1409" s="1409"/>
      <c r="M1409" s="668"/>
    </row>
    <row r="1410" spans="1:13" s="67" customFormat="1">
      <c r="A1410" s="1406"/>
      <c r="B1410" s="1407"/>
      <c r="C1410" s="668"/>
      <c r="D1410" s="666"/>
      <c r="E1410" s="667"/>
      <c r="F1410" s="667"/>
      <c r="G1410" s="668"/>
      <c r="H1410" s="1408"/>
      <c r="I1410" s="65"/>
      <c r="J1410" s="66"/>
      <c r="K1410" s="1407"/>
      <c r="L1410" s="1409"/>
      <c r="M1410" s="668"/>
    </row>
    <row r="1411" spans="1:13" s="67" customFormat="1">
      <c r="A1411" s="1406"/>
      <c r="B1411" s="1407"/>
      <c r="C1411" s="668"/>
      <c r="D1411" s="666"/>
      <c r="E1411" s="667"/>
      <c r="F1411" s="667"/>
      <c r="G1411" s="668"/>
      <c r="H1411" s="1408"/>
      <c r="I1411" s="65"/>
      <c r="J1411" s="66"/>
      <c r="K1411" s="1407"/>
      <c r="L1411" s="1409"/>
      <c r="M1411" s="668"/>
    </row>
    <row r="1412" spans="1:13" s="67" customFormat="1">
      <c r="A1412" s="1406"/>
      <c r="B1412" s="1407"/>
      <c r="C1412" s="668"/>
      <c r="D1412" s="666"/>
      <c r="E1412" s="667"/>
      <c r="F1412" s="667"/>
      <c r="G1412" s="668"/>
      <c r="H1412" s="1408"/>
      <c r="I1412" s="65"/>
      <c r="J1412" s="66"/>
      <c r="K1412" s="1407"/>
      <c r="L1412" s="1409"/>
      <c r="M1412" s="668"/>
    </row>
    <row r="1413" spans="1:13" s="67" customFormat="1">
      <c r="A1413" s="1406"/>
      <c r="B1413" s="1407"/>
      <c r="C1413" s="668"/>
      <c r="D1413" s="666"/>
      <c r="E1413" s="667"/>
      <c r="F1413" s="667"/>
      <c r="G1413" s="668"/>
      <c r="H1413" s="1408"/>
      <c r="I1413" s="65"/>
      <c r="J1413" s="66"/>
      <c r="K1413" s="1407"/>
      <c r="L1413" s="1409"/>
      <c r="M1413" s="668"/>
    </row>
    <row r="1414" spans="1:13" s="67" customFormat="1">
      <c r="A1414" s="1406"/>
      <c r="B1414" s="1407"/>
      <c r="C1414" s="668"/>
      <c r="D1414" s="666"/>
      <c r="E1414" s="667"/>
      <c r="F1414" s="667"/>
      <c r="G1414" s="668"/>
      <c r="H1414" s="1408"/>
      <c r="I1414" s="65"/>
      <c r="J1414" s="66"/>
      <c r="K1414" s="1407"/>
      <c r="L1414" s="1409"/>
      <c r="M1414" s="668"/>
    </row>
    <row r="1415" spans="1:13" s="67" customFormat="1">
      <c r="A1415" s="1406"/>
      <c r="B1415" s="1407"/>
      <c r="C1415" s="668"/>
      <c r="D1415" s="666"/>
      <c r="E1415" s="667"/>
      <c r="F1415" s="667"/>
      <c r="G1415" s="668"/>
      <c r="H1415" s="1408"/>
      <c r="I1415" s="65"/>
      <c r="J1415" s="66"/>
      <c r="K1415" s="1407"/>
      <c r="L1415" s="1409"/>
      <c r="M1415" s="668"/>
    </row>
    <row r="1416" spans="1:13" s="67" customFormat="1">
      <c r="A1416" s="1406"/>
      <c r="B1416" s="1407"/>
      <c r="C1416" s="668"/>
      <c r="D1416" s="666"/>
      <c r="E1416" s="667"/>
      <c r="F1416" s="667"/>
      <c r="G1416" s="668"/>
      <c r="H1416" s="1408"/>
      <c r="I1416" s="65"/>
      <c r="J1416" s="66"/>
      <c r="K1416" s="1407"/>
      <c r="L1416" s="1409"/>
      <c r="M1416" s="668"/>
    </row>
    <row r="1417" spans="1:13" s="67" customFormat="1">
      <c r="A1417" s="1406"/>
      <c r="B1417" s="1407"/>
      <c r="C1417" s="668"/>
      <c r="D1417" s="666"/>
      <c r="E1417" s="667"/>
      <c r="F1417" s="667"/>
      <c r="G1417" s="668"/>
      <c r="H1417" s="1408"/>
      <c r="I1417" s="65"/>
      <c r="J1417" s="66"/>
      <c r="K1417" s="1407"/>
      <c r="L1417" s="1409"/>
      <c r="M1417" s="668"/>
    </row>
    <row r="1418" spans="1:13" s="67" customFormat="1">
      <c r="A1418" s="1406"/>
      <c r="B1418" s="1407"/>
      <c r="C1418" s="668"/>
      <c r="D1418" s="666"/>
      <c r="E1418" s="667"/>
      <c r="F1418" s="667"/>
      <c r="G1418" s="668"/>
      <c r="H1418" s="1408"/>
      <c r="I1418" s="65"/>
      <c r="J1418" s="66"/>
      <c r="K1418" s="1407"/>
      <c r="L1418" s="1409"/>
      <c r="M1418" s="668"/>
    </row>
    <row r="1419" spans="1:13" s="67" customFormat="1">
      <c r="A1419" s="1406"/>
      <c r="B1419" s="1407"/>
      <c r="C1419" s="668"/>
      <c r="D1419" s="666"/>
      <c r="E1419" s="667"/>
      <c r="F1419" s="667"/>
      <c r="G1419" s="668"/>
      <c r="H1419" s="1408"/>
      <c r="I1419" s="65"/>
      <c r="J1419" s="66"/>
      <c r="K1419" s="1407"/>
      <c r="L1419" s="1409"/>
      <c r="M1419" s="668"/>
    </row>
    <row r="1420" spans="1:13" s="67" customFormat="1">
      <c r="A1420" s="1406"/>
      <c r="B1420" s="1407"/>
      <c r="C1420" s="668"/>
      <c r="D1420" s="666"/>
      <c r="E1420" s="667"/>
      <c r="F1420" s="667"/>
      <c r="G1420" s="668"/>
      <c r="H1420" s="1408"/>
      <c r="I1420" s="65"/>
      <c r="J1420" s="66"/>
      <c r="K1420" s="1407"/>
      <c r="L1420" s="1409"/>
      <c r="M1420" s="668"/>
    </row>
    <row r="1421" spans="1:13" s="67" customFormat="1">
      <c r="A1421" s="1406"/>
      <c r="B1421" s="1407"/>
      <c r="C1421" s="668"/>
      <c r="D1421" s="666"/>
      <c r="E1421" s="667"/>
      <c r="F1421" s="667"/>
      <c r="G1421" s="668"/>
      <c r="H1421" s="1408"/>
      <c r="I1421" s="65"/>
      <c r="J1421" s="66"/>
      <c r="K1421" s="1407"/>
      <c r="L1421" s="1409"/>
      <c r="M1421" s="668"/>
    </row>
    <row r="1422" spans="1:13" s="67" customFormat="1">
      <c r="A1422" s="1406"/>
      <c r="B1422" s="1407"/>
      <c r="C1422" s="668"/>
      <c r="D1422" s="666"/>
      <c r="E1422" s="667"/>
      <c r="F1422" s="667"/>
      <c r="G1422" s="668"/>
      <c r="H1422" s="1408"/>
      <c r="I1422" s="65"/>
      <c r="J1422" s="66"/>
      <c r="K1422" s="1407"/>
      <c r="L1422" s="1409"/>
      <c r="M1422" s="668"/>
    </row>
    <row r="1423" spans="1:13" s="67" customFormat="1">
      <c r="A1423" s="1406"/>
      <c r="B1423" s="1407"/>
      <c r="C1423" s="668"/>
      <c r="D1423" s="666"/>
      <c r="E1423" s="667"/>
      <c r="F1423" s="667"/>
      <c r="G1423" s="668"/>
      <c r="H1423" s="1408"/>
      <c r="I1423" s="65"/>
      <c r="J1423" s="66"/>
      <c r="K1423" s="1407"/>
      <c r="L1423" s="1409"/>
      <c r="M1423" s="668"/>
    </row>
    <row r="1424" spans="1:13" s="67" customFormat="1">
      <c r="A1424" s="1406"/>
      <c r="B1424" s="1407"/>
      <c r="C1424" s="668"/>
      <c r="D1424" s="666"/>
      <c r="E1424" s="667"/>
      <c r="F1424" s="667"/>
      <c r="G1424" s="668"/>
      <c r="H1424" s="1408"/>
      <c r="I1424" s="65"/>
      <c r="J1424" s="66"/>
      <c r="K1424" s="1407"/>
      <c r="L1424" s="1409"/>
      <c r="M1424" s="668"/>
    </row>
    <row r="1425" spans="1:13" s="67" customFormat="1">
      <c r="A1425" s="1406"/>
      <c r="B1425" s="1407"/>
      <c r="C1425" s="668"/>
      <c r="D1425" s="666"/>
      <c r="E1425" s="667"/>
      <c r="F1425" s="667"/>
      <c r="G1425" s="668"/>
      <c r="H1425" s="1408"/>
      <c r="I1425" s="65"/>
      <c r="J1425" s="66"/>
      <c r="K1425" s="1407"/>
      <c r="L1425" s="1409"/>
      <c r="M1425" s="668"/>
    </row>
    <row r="1426" spans="1:13" s="67" customFormat="1">
      <c r="A1426" s="1406"/>
      <c r="B1426" s="1407"/>
      <c r="C1426" s="668"/>
      <c r="D1426" s="666"/>
      <c r="E1426" s="667"/>
      <c r="F1426" s="667"/>
      <c r="G1426" s="668"/>
      <c r="H1426" s="1408"/>
      <c r="I1426" s="65"/>
      <c r="J1426" s="66"/>
      <c r="K1426" s="1407"/>
      <c r="L1426" s="1409"/>
      <c r="M1426" s="668"/>
    </row>
    <row r="1427" spans="1:13" s="67" customFormat="1">
      <c r="A1427" s="1406"/>
      <c r="B1427" s="1407"/>
      <c r="C1427" s="668"/>
      <c r="D1427" s="666"/>
      <c r="E1427" s="667"/>
      <c r="F1427" s="667"/>
      <c r="G1427" s="668"/>
      <c r="H1427" s="1408"/>
      <c r="I1427" s="65"/>
      <c r="J1427" s="66"/>
      <c r="K1427" s="1407"/>
      <c r="L1427" s="1409"/>
      <c r="M1427" s="668"/>
    </row>
    <row r="1428" spans="1:13" s="67" customFormat="1">
      <c r="A1428" s="1406"/>
      <c r="B1428" s="1407"/>
      <c r="C1428" s="668"/>
      <c r="D1428" s="666"/>
      <c r="E1428" s="667"/>
      <c r="F1428" s="667"/>
      <c r="G1428" s="668"/>
      <c r="H1428" s="1408"/>
      <c r="I1428" s="65"/>
      <c r="J1428" s="66"/>
      <c r="K1428" s="1407"/>
      <c r="L1428" s="1409"/>
      <c r="M1428" s="668"/>
    </row>
    <row r="1429" spans="1:13" s="67" customFormat="1">
      <c r="A1429" s="1406"/>
      <c r="B1429" s="1407"/>
      <c r="C1429" s="668"/>
      <c r="D1429" s="666"/>
      <c r="E1429" s="667"/>
      <c r="F1429" s="667"/>
      <c r="G1429" s="668"/>
      <c r="H1429" s="1408"/>
      <c r="I1429" s="65"/>
      <c r="J1429" s="66"/>
      <c r="K1429" s="1407"/>
      <c r="L1429" s="1409"/>
      <c r="M1429" s="668"/>
    </row>
    <row r="1430" spans="1:13" s="67" customFormat="1">
      <c r="A1430" s="1406"/>
      <c r="B1430" s="1407"/>
      <c r="C1430" s="668"/>
      <c r="D1430" s="666"/>
      <c r="E1430" s="667"/>
      <c r="F1430" s="667"/>
      <c r="G1430" s="668"/>
      <c r="H1430" s="1408"/>
      <c r="I1430" s="65"/>
      <c r="J1430" s="66"/>
      <c r="K1430" s="1407"/>
      <c r="L1430" s="1409"/>
      <c r="M1430" s="668"/>
    </row>
    <row r="1431" spans="1:13" s="67" customFormat="1">
      <c r="A1431" s="1406"/>
      <c r="B1431" s="1407"/>
      <c r="C1431" s="668"/>
      <c r="D1431" s="666"/>
      <c r="E1431" s="667"/>
      <c r="F1431" s="667"/>
      <c r="G1431" s="668"/>
      <c r="H1431" s="1408"/>
      <c r="I1431" s="65"/>
      <c r="J1431" s="66"/>
      <c r="K1431" s="1407"/>
      <c r="L1431" s="1409"/>
      <c r="M1431" s="668"/>
    </row>
    <row r="1432" spans="1:13" s="67" customFormat="1">
      <c r="A1432" s="1406"/>
      <c r="B1432" s="1407"/>
      <c r="C1432" s="668"/>
      <c r="D1432" s="666"/>
      <c r="E1432" s="667"/>
      <c r="F1432" s="667"/>
      <c r="G1432" s="668"/>
      <c r="H1432" s="1408"/>
      <c r="I1432" s="65"/>
      <c r="J1432" s="66"/>
      <c r="K1432" s="1407"/>
      <c r="L1432" s="1409"/>
      <c r="M1432" s="668"/>
    </row>
    <row r="1433" spans="1:13" s="67" customFormat="1">
      <c r="A1433" s="1406"/>
      <c r="B1433" s="1407"/>
      <c r="C1433" s="668"/>
      <c r="D1433" s="666"/>
      <c r="E1433" s="667"/>
      <c r="F1433" s="667"/>
      <c r="G1433" s="668"/>
      <c r="H1433" s="1408"/>
      <c r="I1433" s="65"/>
      <c r="J1433" s="66"/>
      <c r="K1433" s="1407"/>
      <c r="L1433" s="1409"/>
      <c r="M1433" s="668"/>
    </row>
    <row r="1434" spans="1:13" s="67" customFormat="1">
      <c r="A1434" s="1406"/>
      <c r="B1434" s="1407"/>
      <c r="C1434" s="668"/>
      <c r="D1434" s="666"/>
      <c r="E1434" s="667"/>
      <c r="F1434" s="667"/>
      <c r="G1434" s="668"/>
      <c r="H1434" s="1408"/>
      <c r="I1434" s="65"/>
      <c r="J1434" s="66"/>
      <c r="K1434" s="1407"/>
      <c r="L1434" s="1409"/>
      <c r="M1434" s="668"/>
    </row>
    <row r="1435" spans="1:13" s="67" customFormat="1">
      <c r="A1435" s="1406"/>
      <c r="B1435" s="1407"/>
      <c r="C1435" s="668"/>
      <c r="D1435" s="666"/>
      <c r="E1435" s="667"/>
      <c r="F1435" s="667"/>
      <c r="G1435" s="668"/>
      <c r="H1435" s="1408"/>
      <c r="I1435" s="65"/>
      <c r="J1435" s="66"/>
      <c r="K1435" s="1407"/>
      <c r="L1435" s="1409"/>
      <c r="M1435" s="668"/>
    </row>
    <row r="1436" spans="1:13" s="67" customFormat="1">
      <c r="A1436" s="1406"/>
      <c r="B1436" s="1407"/>
      <c r="C1436" s="668"/>
      <c r="D1436" s="666"/>
      <c r="E1436" s="667"/>
      <c r="F1436" s="667"/>
      <c r="G1436" s="668"/>
      <c r="H1436" s="1408"/>
      <c r="I1436" s="65"/>
      <c r="J1436" s="66"/>
      <c r="K1436" s="1407"/>
      <c r="L1436" s="1409"/>
      <c r="M1436" s="668"/>
    </row>
    <row r="1437" spans="1:13" s="67" customFormat="1">
      <c r="A1437" s="1406"/>
      <c r="B1437" s="1407"/>
      <c r="C1437" s="668"/>
      <c r="D1437" s="666"/>
      <c r="E1437" s="667"/>
      <c r="F1437" s="667"/>
      <c r="G1437" s="668"/>
      <c r="H1437" s="1408"/>
      <c r="I1437" s="65"/>
      <c r="J1437" s="66"/>
      <c r="K1437" s="1407"/>
      <c r="L1437" s="1409"/>
      <c r="M1437" s="668"/>
    </row>
    <row r="1438" spans="1:13" s="67" customFormat="1">
      <c r="A1438" s="1406"/>
      <c r="B1438" s="1407"/>
      <c r="C1438" s="668"/>
      <c r="D1438" s="666"/>
      <c r="E1438" s="667"/>
      <c r="F1438" s="667"/>
      <c r="G1438" s="668"/>
      <c r="H1438" s="1408"/>
      <c r="I1438" s="65"/>
      <c r="J1438" s="66"/>
      <c r="K1438" s="1407"/>
      <c r="L1438" s="1409"/>
      <c r="M1438" s="668"/>
    </row>
    <row r="1439" spans="1:13" s="67" customFormat="1">
      <c r="A1439" s="1406"/>
      <c r="B1439" s="1407"/>
      <c r="C1439" s="668"/>
      <c r="D1439" s="666"/>
      <c r="E1439" s="667"/>
      <c r="F1439" s="667"/>
      <c r="G1439" s="668"/>
      <c r="H1439" s="1408"/>
      <c r="I1439" s="65"/>
      <c r="J1439" s="66"/>
      <c r="K1439" s="1407"/>
      <c r="L1439" s="1409"/>
      <c r="M1439" s="668"/>
    </row>
    <row r="1440" spans="1:13" s="67" customFormat="1">
      <c r="A1440" s="1406"/>
      <c r="B1440" s="1407"/>
      <c r="C1440" s="668"/>
      <c r="D1440" s="666"/>
      <c r="E1440" s="667"/>
      <c r="F1440" s="667"/>
      <c r="G1440" s="668"/>
      <c r="H1440" s="1408"/>
      <c r="I1440" s="65"/>
      <c r="J1440" s="66"/>
      <c r="K1440" s="1407"/>
      <c r="L1440" s="1409"/>
      <c r="M1440" s="668"/>
    </row>
    <row r="1441" spans="1:13" s="67" customFormat="1">
      <c r="A1441" s="1406"/>
      <c r="B1441" s="1407"/>
      <c r="C1441" s="668"/>
      <c r="D1441" s="666"/>
      <c r="E1441" s="667"/>
      <c r="F1441" s="667"/>
      <c r="G1441" s="668"/>
      <c r="H1441" s="1408"/>
      <c r="I1441" s="65"/>
      <c r="J1441" s="66"/>
      <c r="K1441" s="1407"/>
      <c r="L1441" s="1409"/>
      <c r="M1441" s="668"/>
    </row>
    <row r="1442" spans="1:13" s="67" customFormat="1">
      <c r="A1442" s="1406"/>
      <c r="B1442" s="1407"/>
      <c r="C1442" s="668"/>
      <c r="D1442" s="666"/>
      <c r="E1442" s="667"/>
      <c r="F1442" s="667"/>
      <c r="G1442" s="668"/>
      <c r="H1442" s="1408"/>
      <c r="I1442" s="65"/>
      <c r="J1442" s="66"/>
      <c r="K1442" s="1407"/>
      <c r="L1442" s="1409"/>
      <c r="M1442" s="668"/>
    </row>
    <row r="1443" spans="1:13" s="67" customFormat="1">
      <c r="A1443" s="1406"/>
      <c r="B1443" s="1407"/>
      <c r="C1443" s="668"/>
      <c r="D1443" s="666"/>
      <c r="E1443" s="667"/>
      <c r="F1443" s="667"/>
      <c r="G1443" s="668"/>
      <c r="H1443" s="1408"/>
      <c r="I1443" s="65"/>
      <c r="J1443" s="66"/>
      <c r="K1443" s="1407"/>
      <c r="L1443" s="1409"/>
      <c r="M1443" s="668"/>
    </row>
    <row r="1444" spans="1:13" s="67" customFormat="1">
      <c r="A1444" s="1406"/>
      <c r="B1444" s="1407"/>
      <c r="C1444" s="668"/>
      <c r="D1444" s="666"/>
      <c r="E1444" s="667"/>
      <c r="F1444" s="667"/>
      <c r="G1444" s="668"/>
      <c r="H1444" s="1408"/>
      <c r="I1444" s="65"/>
      <c r="J1444" s="66"/>
      <c r="K1444" s="1407"/>
      <c r="L1444" s="1409"/>
      <c r="M1444" s="668"/>
    </row>
    <row r="1445" spans="1:13" s="67" customFormat="1">
      <c r="A1445" s="1406"/>
      <c r="B1445" s="1407"/>
      <c r="C1445" s="668"/>
      <c r="D1445" s="666"/>
      <c r="E1445" s="667"/>
      <c r="F1445" s="667"/>
      <c r="G1445" s="668"/>
      <c r="H1445" s="1408"/>
      <c r="I1445" s="65"/>
      <c r="J1445" s="66"/>
      <c r="K1445" s="1407"/>
      <c r="L1445" s="1409"/>
      <c r="M1445" s="668"/>
    </row>
    <row r="1446" spans="1:13" s="67" customFormat="1">
      <c r="A1446" s="1406"/>
      <c r="B1446" s="1407"/>
      <c r="C1446" s="668"/>
      <c r="D1446" s="666"/>
      <c r="E1446" s="667"/>
      <c r="F1446" s="667"/>
      <c r="G1446" s="668"/>
      <c r="H1446" s="1408"/>
      <c r="I1446" s="65"/>
      <c r="J1446" s="66"/>
      <c r="K1446" s="1407"/>
      <c r="L1446" s="1409"/>
      <c r="M1446" s="668"/>
    </row>
    <row r="1447" spans="1:13" s="67" customFormat="1">
      <c r="A1447" s="1406"/>
      <c r="B1447" s="1407"/>
      <c r="C1447" s="668"/>
      <c r="D1447" s="666"/>
      <c r="E1447" s="667"/>
      <c r="F1447" s="667"/>
      <c r="G1447" s="668"/>
      <c r="H1447" s="1408"/>
      <c r="I1447" s="65"/>
      <c r="J1447" s="66"/>
      <c r="K1447" s="1407"/>
      <c r="L1447" s="1409"/>
      <c r="M1447" s="668"/>
    </row>
    <row r="1448" spans="1:13" s="67" customFormat="1">
      <c r="A1448" s="1406"/>
      <c r="B1448" s="1407"/>
      <c r="C1448" s="668"/>
      <c r="D1448" s="666"/>
      <c r="E1448" s="667"/>
      <c r="F1448" s="667"/>
      <c r="G1448" s="668"/>
      <c r="H1448" s="1408"/>
      <c r="I1448" s="65"/>
      <c r="J1448" s="66"/>
      <c r="K1448" s="1407"/>
      <c r="L1448" s="1409"/>
      <c r="M1448" s="668"/>
    </row>
    <row r="1449" spans="1:13" s="67" customFormat="1">
      <c r="A1449" s="1406"/>
      <c r="B1449" s="1407"/>
      <c r="C1449" s="668"/>
      <c r="D1449" s="666"/>
      <c r="E1449" s="667"/>
      <c r="F1449" s="667"/>
      <c r="G1449" s="668"/>
      <c r="H1449" s="1408"/>
      <c r="I1449" s="65"/>
      <c r="J1449" s="66"/>
      <c r="K1449" s="1407"/>
      <c r="L1449" s="1409"/>
      <c r="M1449" s="668"/>
    </row>
    <row r="1450" spans="1:13" s="67" customFormat="1">
      <c r="A1450" s="1406"/>
      <c r="B1450" s="1407"/>
      <c r="C1450" s="668"/>
      <c r="D1450" s="666"/>
      <c r="E1450" s="667"/>
      <c r="F1450" s="667"/>
      <c r="G1450" s="668"/>
      <c r="H1450" s="1408"/>
      <c r="I1450" s="65"/>
      <c r="J1450" s="66"/>
      <c r="K1450" s="1407"/>
      <c r="L1450" s="1409"/>
      <c r="M1450" s="668"/>
    </row>
    <row r="1451" spans="1:13" s="67" customFormat="1">
      <c r="A1451" s="1406"/>
      <c r="B1451" s="1407"/>
      <c r="C1451" s="668"/>
      <c r="D1451" s="666"/>
      <c r="E1451" s="667"/>
      <c r="F1451" s="667"/>
      <c r="G1451" s="668"/>
      <c r="H1451" s="1408"/>
      <c r="I1451" s="65"/>
      <c r="J1451" s="66"/>
      <c r="K1451" s="1407"/>
      <c r="L1451" s="1409"/>
      <c r="M1451" s="668"/>
    </row>
    <row r="1452" spans="1:13" s="67" customFormat="1">
      <c r="A1452" s="1406"/>
      <c r="B1452" s="1407"/>
      <c r="C1452" s="668"/>
      <c r="D1452" s="666"/>
      <c r="E1452" s="667"/>
      <c r="F1452" s="667"/>
      <c r="G1452" s="668"/>
      <c r="H1452" s="1408"/>
      <c r="I1452" s="65"/>
      <c r="J1452" s="66"/>
      <c r="K1452" s="1407"/>
      <c r="L1452" s="1409"/>
      <c r="M1452" s="668"/>
    </row>
    <row r="1453" spans="1:13" s="67" customFormat="1">
      <c r="A1453" s="1406"/>
      <c r="B1453" s="1407"/>
      <c r="C1453" s="668"/>
      <c r="D1453" s="666"/>
      <c r="E1453" s="667"/>
      <c r="F1453" s="667"/>
      <c r="G1453" s="668"/>
      <c r="H1453" s="1408"/>
      <c r="I1453" s="65"/>
      <c r="J1453" s="66"/>
      <c r="K1453" s="1407"/>
      <c r="L1453" s="1409"/>
      <c r="M1453" s="668"/>
    </row>
    <row r="1454" spans="1:13" s="67" customFormat="1">
      <c r="A1454" s="1406"/>
      <c r="B1454" s="1407"/>
      <c r="C1454" s="668"/>
      <c r="D1454" s="666"/>
      <c r="E1454" s="667"/>
      <c r="F1454" s="667"/>
      <c r="G1454" s="668"/>
      <c r="H1454" s="1408"/>
      <c r="I1454" s="65"/>
      <c r="J1454" s="66"/>
      <c r="K1454" s="1407"/>
      <c r="L1454" s="1409"/>
      <c r="M1454" s="668"/>
    </row>
    <row r="1455" spans="1:13" s="67" customFormat="1">
      <c r="A1455" s="1406"/>
      <c r="B1455" s="1407"/>
      <c r="C1455" s="668"/>
      <c r="D1455" s="666"/>
      <c r="E1455" s="667"/>
      <c r="F1455" s="667"/>
      <c r="G1455" s="668"/>
      <c r="H1455" s="1408"/>
      <c r="I1455" s="65"/>
      <c r="J1455" s="66"/>
      <c r="K1455" s="1407"/>
      <c r="L1455" s="1409"/>
      <c r="M1455" s="668"/>
    </row>
    <row r="1456" spans="1:13" s="67" customFormat="1">
      <c r="A1456" s="1406"/>
      <c r="B1456" s="1407"/>
      <c r="C1456" s="668"/>
      <c r="D1456" s="666"/>
      <c r="E1456" s="667"/>
      <c r="F1456" s="667"/>
      <c r="G1456" s="668"/>
      <c r="H1456" s="1408"/>
      <c r="I1456" s="65"/>
      <c r="J1456" s="66"/>
      <c r="K1456" s="1407"/>
      <c r="L1456" s="1409"/>
      <c r="M1456" s="668"/>
    </row>
    <row r="1457" spans="1:13" s="67" customFormat="1">
      <c r="A1457" s="1406"/>
      <c r="B1457" s="1407"/>
      <c r="C1457" s="668"/>
      <c r="D1457" s="666"/>
      <c r="E1457" s="667"/>
      <c r="F1457" s="667"/>
      <c r="G1457" s="668"/>
      <c r="H1457" s="1408"/>
      <c r="I1457" s="65"/>
      <c r="J1457" s="66"/>
      <c r="K1457" s="1407"/>
      <c r="L1457" s="1409"/>
      <c r="M1457" s="668"/>
    </row>
    <row r="1458" spans="1:13" s="67" customFormat="1">
      <c r="A1458" s="1406"/>
      <c r="B1458" s="1407"/>
      <c r="C1458" s="668"/>
      <c r="D1458" s="666"/>
      <c r="E1458" s="667"/>
      <c r="F1458" s="667"/>
      <c r="G1458" s="668"/>
      <c r="H1458" s="1408"/>
      <c r="I1458" s="65"/>
      <c r="J1458" s="66"/>
      <c r="K1458" s="1407"/>
      <c r="L1458" s="1409"/>
      <c r="M1458" s="668"/>
    </row>
    <row r="1459" spans="1:13" s="67" customFormat="1">
      <c r="A1459" s="1406"/>
      <c r="B1459" s="1407"/>
      <c r="C1459" s="668"/>
      <c r="D1459" s="666"/>
      <c r="E1459" s="667"/>
      <c r="F1459" s="667"/>
      <c r="G1459" s="668"/>
      <c r="H1459" s="1408"/>
      <c r="I1459" s="65"/>
      <c r="J1459" s="66"/>
      <c r="K1459" s="1407"/>
      <c r="L1459" s="1409"/>
      <c r="M1459" s="668"/>
    </row>
    <row r="1460" spans="1:13" s="67" customFormat="1">
      <c r="A1460" s="1406"/>
      <c r="B1460" s="1407"/>
      <c r="C1460" s="668"/>
      <c r="D1460" s="666"/>
      <c r="E1460" s="667"/>
      <c r="F1460" s="667"/>
      <c r="G1460" s="668"/>
      <c r="H1460" s="1408"/>
      <c r="I1460" s="65"/>
      <c r="J1460" s="66"/>
      <c r="K1460" s="1407"/>
      <c r="L1460" s="1409"/>
      <c r="M1460" s="668"/>
    </row>
    <row r="1461" spans="1:13" s="67" customFormat="1">
      <c r="A1461" s="1406"/>
      <c r="B1461" s="1407"/>
      <c r="C1461" s="668"/>
      <c r="D1461" s="666"/>
      <c r="E1461" s="667"/>
      <c r="F1461" s="667"/>
      <c r="G1461" s="668"/>
      <c r="H1461" s="1408"/>
      <c r="I1461" s="65"/>
      <c r="J1461" s="66"/>
      <c r="K1461" s="1407"/>
      <c r="L1461" s="1409"/>
      <c r="M1461" s="668"/>
    </row>
    <row r="1462" spans="1:13" s="67" customFormat="1">
      <c r="A1462" s="1406"/>
      <c r="B1462" s="1407"/>
      <c r="C1462" s="668"/>
      <c r="D1462" s="666"/>
      <c r="E1462" s="667"/>
      <c r="F1462" s="667"/>
      <c r="G1462" s="668"/>
      <c r="H1462" s="1408"/>
      <c r="I1462" s="65"/>
      <c r="J1462" s="66"/>
      <c r="K1462" s="1407"/>
      <c r="L1462" s="1409"/>
      <c r="M1462" s="668"/>
    </row>
    <row r="1463" spans="1:13" s="67" customFormat="1">
      <c r="A1463" s="1406"/>
      <c r="B1463" s="1407"/>
      <c r="C1463" s="668"/>
      <c r="D1463" s="666"/>
      <c r="E1463" s="667"/>
      <c r="F1463" s="667"/>
      <c r="G1463" s="668"/>
      <c r="H1463" s="1408"/>
      <c r="I1463" s="65"/>
      <c r="J1463" s="66"/>
      <c r="K1463" s="1407"/>
      <c r="L1463" s="1409"/>
      <c r="M1463" s="668"/>
    </row>
    <row r="1464" spans="1:13" s="67" customFormat="1">
      <c r="A1464" s="1406"/>
      <c r="B1464" s="1407"/>
      <c r="C1464" s="668"/>
      <c r="D1464" s="666"/>
      <c r="E1464" s="667"/>
      <c r="F1464" s="667"/>
      <c r="G1464" s="668"/>
      <c r="H1464" s="1408"/>
      <c r="I1464" s="65"/>
      <c r="J1464" s="66"/>
      <c r="K1464" s="1407"/>
      <c r="L1464" s="1409"/>
      <c r="M1464" s="668"/>
    </row>
    <row r="1465" spans="1:13" s="67" customFormat="1">
      <c r="A1465" s="1406"/>
      <c r="B1465" s="1407"/>
      <c r="C1465" s="668"/>
      <c r="D1465" s="666"/>
      <c r="E1465" s="667"/>
      <c r="F1465" s="667"/>
      <c r="G1465" s="668"/>
      <c r="H1465" s="1408"/>
      <c r="I1465" s="65"/>
      <c r="J1465" s="66"/>
      <c r="K1465" s="1407"/>
      <c r="L1465" s="1409"/>
      <c r="M1465" s="668"/>
    </row>
    <row r="1466" spans="1:13" s="67" customFormat="1">
      <c r="A1466" s="1406"/>
      <c r="B1466" s="1407"/>
      <c r="C1466" s="668"/>
      <c r="D1466" s="666"/>
      <c r="E1466" s="667"/>
      <c r="F1466" s="667"/>
      <c r="G1466" s="668"/>
      <c r="H1466" s="1408"/>
      <c r="I1466" s="65"/>
      <c r="J1466" s="66"/>
      <c r="K1466" s="1407"/>
      <c r="L1466" s="1409"/>
      <c r="M1466" s="668"/>
    </row>
    <row r="1467" spans="1:13" s="67" customFormat="1">
      <c r="A1467" s="1406"/>
      <c r="B1467" s="1407"/>
      <c r="C1467" s="668"/>
      <c r="D1467" s="666"/>
      <c r="E1467" s="667"/>
      <c r="F1467" s="667"/>
      <c r="G1467" s="668"/>
      <c r="H1467" s="1408"/>
      <c r="I1467" s="65"/>
      <c r="J1467" s="66"/>
      <c r="K1467" s="1407"/>
      <c r="L1467" s="1409"/>
      <c r="M1467" s="668"/>
    </row>
    <row r="1468" spans="1:13" s="67" customFormat="1">
      <c r="A1468" s="1406"/>
      <c r="B1468" s="1407"/>
      <c r="C1468" s="668"/>
      <c r="D1468" s="666"/>
      <c r="E1468" s="667"/>
      <c r="F1468" s="667"/>
      <c r="G1468" s="668"/>
      <c r="H1468" s="1408"/>
      <c r="I1468" s="65"/>
      <c r="J1468" s="66"/>
      <c r="K1468" s="1407"/>
      <c r="L1468" s="1409"/>
      <c r="M1468" s="668"/>
    </row>
    <row r="1469" spans="1:13" s="67" customFormat="1">
      <c r="A1469" s="1406"/>
      <c r="B1469" s="1407"/>
      <c r="C1469" s="668"/>
      <c r="D1469" s="666"/>
      <c r="E1469" s="667"/>
      <c r="F1469" s="667"/>
      <c r="G1469" s="668"/>
      <c r="H1469" s="1408"/>
      <c r="I1469" s="65"/>
      <c r="J1469" s="66"/>
      <c r="K1469" s="1407"/>
      <c r="L1469" s="1409"/>
      <c r="M1469" s="668"/>
    </row>
    <row r="1470" spans="1:13" s="67" customFormat="1">
      <c r="A1470" s="1406"/>
      <c r="B1470" s="1407"/>
      <c r="C1470" s="668"/>
      <c r="D1470" s="666"/>
      <c r="E1470" s="667"/>
      <c r="F1470" s="667"/>
      <c r="G1470" s="668"/>
      <c r="H1470" s="1408"/>
      <c r="I1470" s="65"/>
      <c r="J1470" s="66"/>
      <c r="K1470" s="1407"/>
      <c r="L1470" s="1409"/>
      <c r="M1470" s="668"/>
    </row>
    <row r="1471" spans="1:13" s="67" customFormat="1">
      <c r="A1471" s="1406"/>
      <c r="B1471" s="1407"/>
      <c r="C1471" s="668"/>
      <c r="D1471" s="666"/>
      <c r="E1471" s="667"/>
      <c r="F1471" s="667"/>
      <c r="G1471" s="668"/>
      <c r="H1471" s="1408"/>
      <c r="I1471" s="65"/>
      <c r="J1471" s="66"/>
      <c r="K1471" s="1407"/>
      <c r="L1471" s="1409"/>
      <c r="M1471" s="668"/>
    </row>
    <row r="1472" spans="1:13" s="67" customFormat="1">
      <c r="A1472" s="1406"/>
      <c r="B1472" s="1407"/>
      <c r="C1472" s="668"/>
      <c r="D1472" s="666"/>
      <c r="E1472" s="667"/>
      <c r="F1472" s="667"/>
      <c r="G1472" s="668"/>
      <c r="H1472" s="1408"/>
      <c r="I1472" s="65"/>
      <c r="J1472" s="66"/>
      <c r="K1472" s="1407"/>
      <c r="L1472" s="1409"/>
      <c r="M1472" s="668"/>
    </row>
    <row r="1473" spans="1:13" s="67" customFormat="1">
      <c r="A1473" s="1406"/>
      <c r="B1473" s="1407"/>
      <c r="C1473" s="668"/>
      <c r="D1473" s="666"/>
      <c r="E1473" s="667"/>
      <c r="F1473" s="667"/>
      <c r="G1473" s="668"/>
      <c r="H1473" s="1408"/>
      <c r="I1473" s="65"/>
      <c r="J1473" s="66"/>
      <c r="K1473" s="1407"/>
      <c r="L1473" s="1409"/>
      <c r="M1473" s="668"/>
    </row>
    <row r="1474" spans="1:13" s="67" customFormat="1">
      <c r="A1474" s="1406"/>
      <c r="B1474" s="1407"/>
      <c r="C1474" s="668"/>
      <c r="D1474" s="666"/>
      <c r="E1474" s="667"/>
      <c r="F1474" s="667"/>
      <c r="G1474" s="668"/>
      <c r="H1474" s="1408"/>
      <c r="I1474" s="65"/>
      <c r="J1474" s="66"/>
      <c r="K1474" s="1407"/>
      <c r="L1474" s="1409"/>
      <c r="M1474" s="668"/>
    </row>
    <row r="1475" spans="1:13" s="67" customFormat="1">
      <c r="A1475" s="1406"/>
      <c r="B1475" s="1407"/>
      <c r="C1475" s="668"/>
      <c r="D1475" s="666"/>
      <c r="E1475" s="667"/>
      <c r="F1475" s="667"/>
      <c r="G1475" s="668"/>
      <c r="H1475" s="1408"/>
      <c r="I1475" s="65"/>
      <c r="J1475" s="66"/>
      <c r="K1475" s="1407"/>
      <c r="L1475" s="1409"/>
      <c r="M1475" s="668"/>
    </row>
    <row r="1476" spans="1:13" s="67" customFormat="1">
      <c r="A1476" s="1406"/>
      <c r="B1476" s="1407"/>
      <c r="C1476" s="668"/>
      <c r="D1476" s="666"/>
      <c r="E1476" s="667"/>
      <c r="F1476" s="667"/>
      <c r="G1476" s="668"/>
      <c r="H1476" s="1408"/>
      <c r="I1476" s="65"/>
      <c r="J1476" s="66"/>
      <c r="K1476" s="1407"/>
      <c r="L1476" s="1409"/>
      <c r="M1476" s="668"/>
    </row>
    <row r="1477" spans="1:13" s="67" customFormat="1">
      <c r="A1477" s="1406"/>
      <c r="B1477" s="1407"/>
      <c r="C1477" s="668"/>
      <c r="D1477" s="666"/>
      <c r="E1477" s="667"/>
      <c r="F1477" s="667"/>
      <c r="G1477" s="668"/>
      <c r="H1477" s="1408"/>
      <c r="I1477" s="65"/>
      <c r="J1477" s="66"/>
      <c r="K1477" s="1407"/>
      <c r="L1477" s="1409"/>
      <c r="M1477" s="668"/>
    </row>
    <row r="1478" spans="1:13" s="67" customFormat="1">
      <c r="A1478" s="1406"/>
      <c r="B1478" s="1407"/>
      <c r="C1478" s="668"/>
      <c r="D1478" s="666"/>
      <c r="E1478" s="667"/>
      <c r="F1478" s="667"/>
      <c r="G1478" s="668"/>
      <c r="H1478" s="1408"/>
      <c r="I1478" s="65"/>
      <c r="J1478" s="66"/>
      <c r="K1478" s="1407"/>
      <c r="L1478" s="1409"/>
      <c r="M1478" s="668"/>
    </row>
    <row r="1479" spans="1:13" s="67" customFormat="1">
      <c r="A1479" s="1406"/>
      <c r="B1479" s="1407"/>
      <c r="C1479" s="668"/>
      <c r="D1479" s="666"/>
      <c r="E1479" s="667"/>
      <c r="F1479" s="667"/>
      <c r="G1479" s="668"/>
      <c r="H1479" s="1408"/>
      <c r="I1479" s="65"/>
      <c r="J1479" s="66"/>
      <c r="K1479" s="1407"/>
      <c r="L1479" s="1409"/>
      <c r="M1479" s="668"/>
    </row>
    <row r="1480" spans="1:13" s="67" customFormat="1">
      <c r="A1480" s="1406"/>
      <c r="B1480" s="1407"/>
      <c r="C1480" s="668"/>
      <c r="D1480" s="666"/>
      <c r="E1480" s="667"/>
      <c r="F1480" s="667"/>
      <c r="G1480" s="668"/>
      <c r="H1480" s="1408"/>
      <c r="I1480" s="65"/>
      <c r="J1480" s="66"/>
      <c r="K1480" s="1407"/>
      <c r="L1480" s="1409"/>
      <c r="M1480" s="668"/>
    </row>
    <row r="1481" spans="1:13" s="67" customFormat="1">
      <c r="A1481" s="1406"/>
      <c r="B1481" s="1407"/>
      <c r="C1481" s="668"/>
      <c r="D1481" s="666"/>
      <c r="E1481" s="667"/>
      <c r="F1481" s="667"/>
      <c r="G1481" s="668"/>
      <c r="H1481" s="1408"/>
      <c r="I1481" s="65"/>
      <c r="J1481" s="66"/>
      <c r="K1481" s="1407"/>
      <c r="L1481" s="1409"/>
      <c r="M1481" s="668"/>
    </row>
    <row r="1482" spans="1:13" s="67" customFormat="1">
      <c r="A1482" s="1406"/>
      <c r="B1482" s="1407"/>
      <c r="C1482" s="668"/>
      <c r="D1482" s="666"/>
      <c r="E1482" s="667"/>
      <c r="F1482" s="667"/>
      <c r="G1482" s="668"/>
      <c r="H1482" s="1408"/>
      <c r="I1482" s="65"/>
      <c r="J1482" s="66"/>
      <c r="K1482" s="1407"/>
      <c r="L1482" s="1409"/>
      <c r="M1482" s="668"/>
    </row>
    <row r="1483" spans="1:13" s="67" customFormat="1">
      <c r="A1483" s="1406"/>
      <c r="B1483" s="1407"/>
      <c r="C1483" s="668"/>
      <c r="D1483" s="666"/>
      <c r="E1483" s="667"/>
      <c r="F1483" s="667"/>
      <c r="G1483" s="668"/>
      <c r="H1483" s="1408"/>
      <c r="I1483" s="65"/>
      <c r="J1483" s="66"/>
      <c r="K1483" s="1407"/>
      <c r="L1483" s="1409"/>
      <c r="M1483" s="668"/>
    </row>
    <row r="1484" spans="1:13" s="67" customFormat="1">
      <c r="A1484" s="1406"/>
      <c r="B1484" s="1407"/>
      <c r="C1484" s="668"/>
      <c r="D1484" s="666"/>
      <c r="E1484" s="667"/>
      <c r="F1484" s="667"/>
      <c r="G1484" s="668"/>
      <c r="H1484" s="1408"/>
      <c r="I1484" s="65"/>
      <c r="J1484" s="66"/>
      <c r="K1484" s="1407"/>
      <c r="L1484" s="1409"/>
      <c r="M1484" s="668"/>
    </row>
    <row r="1485" spans="1:13" s="67" customFormat="1">
      <c r="A1485" s="1406"/>
      <c r="B1485" s="1407"/>
      <c r="C1485" s="668"/>
      <c r="D1485" s="666"/>
      <c r="E1485" s="667"/>
      <c r="F1485" s="667"/>
      <c r="G1485" s="668"/>
      <c r="H1485" s="1408"/>
      <c r="I1485" s="65"/>
      <c r="J1485" s="66"/>
      <c r="K1485" s="1407"/>
      <c r="L1485" s="1409"/>
      <c r="M1485" s="668"/>
    </row>
    <row r="1486" spans="1:13" s="67" customFormat="1">
      <c r="A1486" s="1406"/>
      <c r="B1486" s="1407"/>
      <c r="C1486" s="668"/>
      <c r="D1486" s="666"/>
      <c r="E1486" s="667"/>
      <c r="F1486" s="667"/>
      <c r="G1486" s="668"/>
      <c r="H1486" s="1408"/>
      <c r="I1486" s="65"/>
      <c r="J1486" s="66"/>
      <c r="K1486" s="1407"/>
      <c r="L1486" s="1409"/>
      <c r="M1486" s="668"/>
    </row>
    <row r="1487" spans="1:13" s="67" customFormat="1">
      <c r="A1487" s="1406"/>
      <c r="B1487" s="1407"/>
      <c r="C1487" s="668"/>
      <c r="D1487" s="666"/>
      <c r="E1487" s="667"/>
      <c r="F1487" s="667"/>
      <c r="G1487" s="668"/>
      <c r="H1487" s="1408"/>
      <c r="I1487" s="65"/>
      <c r="J1487" s="66"/>
      <c r="K1487" s="1407"/>
      <c r="L1487" s="1409"/>
      <c r="M1487" s="668"/>
    </row>
    <row r="1488" spans="1:13" s="67" customFormat="1">
      <c r="A1488" s="1406"/>
      <c r="B1488" s="1407"/>
      <c r="C1488" s="668"/>
      <c r="D1488" s="666"/>
      <c r="E1488" s="667"/>
      <c r="F1488" s="667"/>
      <c r="G1488" s="668"/>
      <c r="H1488" s="1408"/>
      <c r="I1488" s="65"/>
      <c r="J1488" s="66"/>
      <c r="K1488" s="1407"/>
      <c r="L1488" s="1409"/>
      <c r="M1488" s="668"/>
    </row>
    <row r="1489" spans="1:13" s="67" customFormat="1">
      <c r="A1489" s="1406"/>
      <c r="B1489" s="1407"/>
      <c r="C1489" s="668"/>
      <c r="D1489" s="666"/>
      <c r="E1489" s="667"/>
      <c r="F1489" s="667"/>
      <c r="G1489" s="668"/>
      <c r="H1489" s="1408"/>
      <c r="I1489" s="65"/>
      <c r="J1489" s="66"/>
      <c r="K1489" s="1407"/>
      <c r="L1489" s="1409"/>
      <c r="M1489" s="668"/>
    </row>
    <row r="1490" spans="1:13" s="67" customFormat="1">
      <c r="A1490" s="1406"/>
      <c r="B1490" s="1407"/>
      <c r="C1490" s="668"/>
      <c r="D1490" s="666"/>
      <c r="E1490" s="667"/>
      <c r="F1490" s="667"/>
      <c r="G1490" s="668"/>
      <c r="H1490" s="1408"/>
      <c r="I1490" s="65"/>
      <c r="J1490" s="66"/>
      <c r="K1490" s="1407"/>
      <c r="L1490" s="1409"/>
      <c r="M1490" s="668"/>
    </row>
    <row r="1491" spans="1:13" s="67" customFormat="1">
      <c r="A1491" s="1406"/>
      <c r="B1491" s="1407"/>
      <c r="C1491" s="668"/>
      <c r="D1491" s="666"/>
      <c r="E1491" s="667"/>
      <c r="F1491" s="667"/>
      <c r="G1491" s="668"/>
      <c r="H1491" s="1408"/>
      <c r="I1491" s="65"/>
      <c r="J1491" s="66"/>
      <c r="K1491" s="1407"/>
      <c r="L1491" s="1409"/>
      <c r="M1491" s="668"/>
    </row>
    <row r="1492" spans="1:13" s="67" customFormat="1">
      <c r="A1492" s="1406"/>
      <c r="B1492" s="1407"/>
      <c r="C1492" s="668"/>
      <c r="D1492" s="666"/>
      <c r="E1492" s="667"/>
      <c r="F1492" s="667"/>
      <c r="G1492" s="668"/>
      <c r="H1492" s="1408"/>
      <c r="I1492" s="65"/>
      <c r="J1492" s="66"/>
      <c r="K1492" s="1407"/>
      <c r="L1492" s="1409"/>
      <c r="M1492" s="668"/>
    </row>
    <row r="1493" spans="1:13" s="67" customFormat="1">
      <c r="A1493" s="1406"/>
      <c r="B1493" s="1407"/>
      <c r="C1493" s="668"/>
      <c r="D1493" s="666"/>
      <c r="E1493" s="667"/>
      <c r="F1493" s="667"/>
      <c r="G1493" s="668"/>
      <c r="H1493" s="1408"/>
      <c r="I1493" s="65"/>
      <c r="J1493" s="66"/>
      <c r="K1493" s="1407"/>
      <c r="L1493" s="1409"/>
      <c r="M1493" s="668"/>
    </row>
    <row r="1494" spans="1:13" s="67" customFormat="1">
      <c r="A1494" s="1406"/>
      <c r="B1494" s="1407"/>
      <c r="C1494" s="668"/>
      <c r="D1494" s="666"/>
      <c r="E1494" s="667"/>
      <c r="F1494" s="667"/>
      <c r="G1494" s="668"/>
      <c r="H1494" s="1408"/>
      <c r="I1494" s="65"/>
      <c r="J1494" s="66"/>
      <c r="K1494" s="1407"/>
      <c r="L1494" s="1409"/>
      <c r="M1494" s="668"/>
    </row>
    <row r="1495" spans="1:13" s="67" customFormat="1">
      <c r="A1495" s="1406"/>
      <c r="B1495" s="1407"/>
      <c r="C1495" s="668"/>
      <c r="D1495" s="666"/>
      <c r="E1495" s="667"/>
      <c r="F1495" s="667"/>
      <c r="G1495" s="668"/>
      <c r="H1495" s="1408"/>
      <c r="I1495" s="65"/>
      <c r="J1495" s="66"/>
      <c r="K1495" s="1407"/>
      <c r="L1495" s="1409"/>
      <c r="M1495" s="668"/>
    </row>
    <row r="1496" spans="1:13" s="67" customFormat="1">
      <c r="A1496" s="1406"/>
      <c r="B1496" s="1407"/>
      <c r="C1496" s="668"/>
      <c r="D1496" s="666"/>
      <c r="E1496" s="667"/>
      <c r="F1496" s="667"/>
      <c r="G1496" s="668"/>
      <c r="H1496" s="1408"/>
      <c r="I1496" s="65"/>
      <c r="J1496" s="66"/>
      <c r="K1496" s="1407"/>
      <c r="L1496" s="1409"/>
      <c r="M1496" s="668"/>
    </row>
    <row r="1497" spans="1:13" s="67" customFormat="1">
      <c r="A1497" s="1406"/>
      <c r="B1497" s="1407"/>
      <c r="C1497" s="668"/>
      <c r="D1497" s="666"/>
      <c r="E1497" s="667"/>
      <c r="F1497" s="667"/>
      <c r="G1497" s="668"/>
      <c r="H1497" s="1408"/>
      <c r="I1497" s="65"/>
      <c r="J1497" s="66"/>
      <c r="K1497" s="1407"/>
      <c r="L1497" s="1409"/>
      <c r="M1497" s="668"/>
    </row>
    <row r="1498" spans="1:13" s="67" customFormat="1">
      <c r="A1498" s="1406"/>
      <c r="B1498" s="1407"/>
      <c r="C1498" s="668"/>
      <c r="D1498" s="666"/>
      <c r="E1498" s="667"/>
      <c r="F1498" s="667"/>
      <c r="G1498" s="668"/>
      <c r="H1498" s="1408"/>
      <c r="I1498" s="65"/>
      <c r="J1498" s="66"/>
      <c r="K1498" s="1407"/>
      <c r="L1498" s="1409"/>
      <c r="M1498" s="668"/>
    </row>
    <row r="1499" spans="1:13" s="67" customFormat="1">
      <c r="A1499" s="1406"/>
      <c r="B1499" s="1407"/>
      <c r="C1499" s="668"/>
      <c r="D1499" s="666"/>
      <c r="E1499" s="667"/>
      <c r="F1499" s="667"/>
      <c r="G1499" s="668"/>
      <c r="H1499" s="1408"/>
      <c r="I1499" s="65"/>
      <c r="J1499" s="66"/>
      <c r="K1499" s="1407"/>
      <c r="L1499" s="1409"/>
      <c r="M1499" s="668"/>
    </row>
    <row r="1500" spans="1:13" s="67" customFormat="1">
      <c r="A1500" s="1406"/>
      <c r="B1500" s="1407"/>
      <c r="C1500" s="668"/>
      <c r="D1500" s="666"/>
      <c r="E1500" s="667"/>
      <c r="F1500" s="667"/>
      <c r="G1500" s="668"/>
      <c r="H1500" s="1408"/>
      <c r="I1500" s="65"/>
      <c r="J1500" s="66"/>
      <c r="K1500" s="1407"/>
      <c r="L1500" s="1409"/>
      <c r="M1500" s="668"/>
    </row>
    <row r="1501" spans="1:13" s="67" customFormat="1">
      <c r="A1501" s="1406"/>
      <c r="B1501" s="1407"/>
      <c r="C1501" s="668"/>
      <c r="D1501" s="666"/>
      <c r="E1501" s="667"/>
      <c r="F1501" s="667"/>
      <c r="G1501" s="668"/>
      <c r="H1501" s="1408"/>
      <c r="I1501" s="65"/>
      <c r="J1501" s="66"/>
      <c r="K1501" s="1407"/>
      <c r="L1501" s="1409"/>
      <c r="M1501" s="668"/>
    </row>
    <row r="1502" spans="1:13" s="67" customFormat="1">
      <c r="A1502" s="1406"/>
      <c r="B1502" s="1407"/>
      <c r="C1502" s="668"/>
      <c r="D1502" s="666"/>
      <c r="E1502" s="667"/>
      <c r="F1502" s="667"/>
      <c r="G1502" s="668"/>
      <c r="H1502" s="1408"/>
      <c r="I1502" s="65"/>
      <c r="J1502" s="66"/>
      <c r="K1502" s="1407"/>
      <c r="L1502" s="1409"/>
      <c r="M1502" s="668"/>
    </row>
    <row r="1503" spans="1:13" s="67" customFormat="1">
      <c r="A1503" s="1406"/>
      <c r="B1503" s="1407"/>
      <c r="C1503" s="668"/>
      <c r="D1503" s="666"/>
      <c r="E1503" s="667"/>
      <c r="F1503" s="667"/>
      <c r="G1503" s="668"/>
      <c r="H1503" s="1408"/>
      <c r="I1503" s="65"/>
      <c r="J1503" s="66"/>
      <c r="K1503" s="1407"/>
      <c r="L1503" s="1409"/>
      <c r="M1503" s="668"/>
    </row>
    <row r="1504" spans="1:13" s="67" customFormat="1">
      <c r="A1504" s="1406"/>
      <c r="B1504" s="1407"/>
      <c r="C1504" s="668"/>
      <c r="D1504" s="666"/>
      <c r="E1504" s="667"/>
      <c r="F1504" s="667"/>
      <c r="G1504" s="668"/>
      <c r="H1504" s="1408"/>
      <c r="I1504" s="65"/>
      <c r="J1504" s="66"/>
      <c r="K1504" s="1407"/>
      <c r="L1504" s="1409"/>
      <c r="M1504" s="668"/>
    </row>
    <row r="1505" spans="1:13" s="67" customFormat="1">
      <c r="A1505" s="1406"/>
      <c r="B1505" s="1407"/>
      <c r="C1505" s="668"/>
      <c r="D1505" s="666"/>
      <c r="E1505" s="667"/>
      <c r="F1505" s="667"/>
      <c r="G1505" s="668"/>
      <c r="H1505" s="1408"/>
      <c r="I1505" s="65"/>
      <c r="J1505" s="66"/>
      <c r="K1505" s="1407"/>
      <c r="L1505" s="1409"/>
      <c r="M1505" s="668"/>
    </row>
    <row r="1506" spans="1:13" s="67" customFormat="1">
      <c r="A1506" s="1406"/>
      <c r="B1506" s="1407"/>
      <c r="C1506" s="668"/>
      <c r="D1506" s="666"/>
      <c r="E1506" s="667"/>
      <c r="F1506" s="667"/>
      <c r="G1506" s="668"/>
      <c r="H1506" s="1408"/>
      <c r="I1506" s="65"/>
      <c r="J1506" s="66"/>
      <c r="K1506" s="1407"/>
      <c r="L1506" s="1409"/>
      <c r="M1506" s="668"/>
    </row>
    <row r="1507" spans="1:13" s="67" customFormat="1">
      <c r="A1507" s="1406"/>
      <c r="B1507" s="1407"/>
      <c r="C1507" s="668"/>
      <c r="D1507" s="666"/>
      <c r="E1507" s="667"/>
      <c r="F1507" s="667"/>
      <c r="G1507" s="668"/>
      <c r="H1507" s="1408"/>
      <c r="I1507" s="65"/>
      <c r="J1507" s="66"/>
      <c r="K1507" s="1407"/>
      <c r="L1507" s="1409"/>
      <c r="M1507" s="668"/>
    </row>
    <row r="1508" spans="1:13" s="67" customFormat="1">
      <c r="A1508" s="1406"/>
      <c r="B1508" s="1407"/>
      <c r="C1508" s="668"/>
      <c r="D1508" s="666"/>
      <c r="E1508" s="667"/>
      <c r="F1508" s="667"/>
      <c r="G1508" s="668"/>
      <c r="H1508" s="1408"/>
      <c r="I1508" s="65"/>
      <c r="J1508" s="66"/>
      <c r="K1508" s="1407"/>
      <c r="L1508" s="1409"/>
      <c r="M1508" s="668"/>
    </row>
    <row r="1509" spans="1:13" s="67" customFormat="1">
      <c r="A1509" s="1406"/>
      <c r="B1509" s="1407"/>
      <c r="C1509" s="668"/>
      <c r="D1509" s="666"/>
      <c r="E1509" s="667"/>
      <c r="F1509" s="667"/>
      <c r="G1509" s="668"/>
      <c r="H1509" s="1408"/>
      <c r="I1509" s="65"/>
      <c r="J1509" s="66"/>
      <c r="K1509" s="1407"/>
      <c r="L1509" s="1409"/>
      <c r="M1509" s="668"/>
    </row>
    <row r="1510" spans="1:13" s="67" customFormat="1">
      <c r="A1510" s="1406"/>
      <c r="B1510" s="1407"/>
      <c r="C1510" s="668"/>
      <c r="D1510" s="666"/>
      <c r="E1510" s="667"/>
      <c r="F1510" s="667"/>
      <c r="G1510" s="668"/>
      <c r="H1510" s="1408"/>
      <c r="I1510" s="65"/>
      <c r="J1510" s="66"/>
      <c r="K1510" s="1407"/>
      <c r="L1510" s="1409"/>
      <c r="M1510" s="668"/>
    </row>
    <row r="1511" spans="1:13" s="67" customFormat="1">
      <c r="A1511" s="1406"/>
      <c r="B1511" s="1407"/>
      <c r="C1511" s="668"/>
      <c r="D1511" s="666"/>
      <c r="E1511" s="667"/>
      <c r="F1511" s="667"/>
      <c r="G1511" s="668"/>
      <c r="H1511" s="1408"/>
      <c r="I1511" s="65"/>
      <c r="J1511" s="66"/>
      <c r="K1511" s="1407"/>
      <c r="L1511" s="1409"/>
      <c r="M1511" s="668"/>
    </row>
    <row r="1512" spans="1:13" s="67" customFormat="1">
      <c r="A1512" s="1406"/>
      <c r="B1512" s="1407"/>
      <c r="C1512" s="668"/>
      <c r="D1512" s="666"/>
      <c r="E1512" s="667"/>
      <c r="F1512" s="667"/>
      <c r="G1512" s="668"/>
      <c r="H1512" s="1408"/>
      <c r="I1512" s="65"/>
      <c r="J1512" s="66"/>
      <c r="K1512" s="1407"/>
      <c r="L1512" s="1409"/>
      <c r="M1512" s="668"/>
    </row>
    <row r="1513" spans="1:13" s="67" customFormat="1">
      <c r="A1513" s="1406"/>
      <c r="B1513" s="1407"/>
      <c r="C1513" s="668"/>
      <c r="D1513" s="666"/>
      <c r="E1513" s="667"/>
      <c r="F1513" s="667"/>
      <c r="G1513" s="668"/>
      <c r="H1513" s="1408"/>
      <c r="I1513" s="65"/>
      <c r="J1513" s="66"/>
      <c r="K1513" s="1407"/>
      <c r="L1513" s="1409"/>
      <c r="M1513" s="668"/>
    </row>
    <row r="1514" spans="1:13" s="67" customFormat="1">
      <c r="A1514" s="1406"/>
      <c r="B1514" s="1407"/>
      <c r="C1514" s="668"/>
      <c r="D1514" s="666"/>
      <c r="E1514" s="667"/>
      <c r="F1514" s="667"/>
      <c r="G1514" s="668"/>
      <c r="H1514" s="1408"/>
      <c r="I1514" s="65"/>
      <c r="J1514" s="66"/>
      <c r="K1514" s="1407"/>
      <c r="L1514" s="1409"/>
      <c r="M1514" s="668"/>
    </row>
    <row r="1515" spans="1:13" s="67" customFormat="1">
      <c r="A1515" s="1406"/>
      <c r="B1515" s="1407"/>
      <c r="C1515" s="668"/>
      <c r="D1515" s="666"/>
      <c r="E1515" s="667"/>
      <c r="F1515" s="667"/>
      <c r="G1515" s="668"/>
      <c r="H1515" s="1408"/>
      <c r="I1515" s="65"/>
      <c r="J1515" s="66"/>
      <c r="K1515" s="1407"/>
      <c r="L1515" s="1409"/>
      <c r="M1515" s="668"/>
    </row>
    <row r="1516" spans="1:13" s="67" customFormat="1">
      <c r="A1516" s="1406"/>
      <c r="B1516" s="1407"/>
      <c r="C1516" s="668"/>
      <c r="D1516" s="666"/>
      <c r="E1516" s="667"/>
      <c r="F1516" s="667"/>
      <c r="G1516" s="668"/>
      <c r="H1516" s="1408"/>
      <c r="I1516" s="65"/>
      <c r="J1516" s="66"/>
      <c r="K1516" s="1407"/>
      <c r="L1516" s="1409"/>
      <c r="M1516" s="668"/>
    </row>
    <row r="1517" spans="1:13" s="67" customFormat="1">
      <c r="A1517" s="1406"/>
      <c r="B1517" s="1407"/>
      <c r="C1517" s="668"/>
      <c r="D1517" s="666"/>
      <c r="E1517" s="667"/>
      <c r="F1517" s="667"/>
      <c r="G1517" s="668"/>
      <c r="H1517" s="1408"/>
      <c r="I1517" s="65"/>
      <c r="J1517" s="66"/>
      <c r="K1517" s="1407"/>
      <c r="L1517" s="1409"/>
      <c r="M1517" s="668"/>
    </row>
    <row r="1518" spans="1:13" s="67" customFormat="1">
      <c r="A1518" s="1406"/>
      <c r="B1518" s="1407"/>
      <c r="C1518" s="668"/>
      <c r="D1518" s="666"/>
      <c r="E1518" s="667"/>
      <c r="F1518" s="667"/>
      <c r="G1518" s="668"/>
      <c r="H1518" s="1408"/>
      <c r="I1518" s="65"/>
      <c r="J1518" s="66"/>
      <c r="K1518" s="1407"/>
      <c r="L1518" s="1409"/>
      <c r="M1518" s="668"/>
    </row>
    <row r="1519" spans="1:13" s="67" customFormat="1">
      <c r="A1519" s="1406"/>
      <c r="B1519" s="1407"/>
      <c r="C1519" s="668"/>
      <c r="D1519" s="666"/>
      <c r="E1519" s="667"/>
      <c r="F1519" s="667"/>
      <c r="G1519" s="668"/>
      <c r="H1519" s="1408"/>
      <c r="I1519" s="65"/>
      <c r="J1519" s="66"/>
      <c r="K1519" s="1407"/>
      <c r="L1519" s="1409"/>
      <c r="M1519" s="668"/>
    </row>
    <row r="1520" spans="1:13" s="67" customFormat="1">
      <c r="A1520" s="1406"/>
      <c r="B1520" s="1407"/>
      <c r="C1520" s="668"/>
      <c r="D1520" s="666"/>
      <c r="E1520" s="667"/>
      <c r="F1520" s="667"/>
      <c r="G1520" s="668"/>
      <c r="H1520" s="1408"/>
      <c r="I1520" s="65"/>
      <c r="J1520" s="66"/>
      <c r="K1520" s="1407"/>
      <c r="L1520" s="1409"/>
      <c r="M1520" s="668"/>
    </row>
    <row r="1521" spans="1:13" s="67" customFormat="1">
      <c r="A1521" s="1406"/>
      <c r="B1521" s="1407"/>
      <c r="C1521" s="668"/>
      <c r="D1521" s="666"/>
      <c r="E1521" s="667"/>
      <c r="F1521" s="667"/>
      <c r="G1521" s="668"/>
      <c r="H1521" s="1408"/>
      <c r="I1521" s="65"/>
      <c r="J1521" s="66"/>
      <c r="K1521" s="1407"/>
      <c r="L1521" s="1409"/>
      <c r="M1521" s="668"/>
    </row>
    <row r="1522" spans="1:13" s="67" customFormat="1">
      <c r="A1522" s="1406"/>
      <c r="B1522" s="1407"/>
      <c r="C1522" s="668"/>
      <c r="D1522" s="666"/>
      <c r="E1522" s="667"/>
      <c r="F1522" s="667"/>
      <c r="G1522" s="668"/>
      <c r="H1522" s="1408"/>
      <c r="I1522" s="65"/>
      <c r="J1522" s="66"/>
      <c r="K1522" s="1407"/>
      <c r="L1522" s="1409"/>
      <c r="M1522" s="668"/>
    </row>
    <row r="1523" spans="1:13" s="67" customFormat="1">
      <c r="A1523" s="1406"/>
      <c r="B1523" s="1407"/>
      <c r="C1523" s="668"/>
      <c r="D1523" s="666"/>
      <c r="E1523" s="667"/>
      <c r="F1523" s="667"/>
      <c r="G1523" s="668"/>
      <c r="H1523" s="1408"/>
      <c r="I1523" s="65"/>
      <c r="J1523" s="66"/>
      <c r="K1523" s="1407"/>
      <c r="L1523" s="1409"/>
      <c r="M1523" s="668"/>
    </row>
    <row r="1524" spans="1:13" s="67" customFormat="1">
      <c r="A1524" s="1406"/>
      <c r="B1524" s="1407"/>
      <c r="C1524" s="668"/>
      <c r="D1524" s="666"/>
      <c r="E1524" s="667"/>
      <c r="F1524" s="667"/>
      <c r="G1524" s="668"/>
      <c r="H1524" s="1408"/>
      <c r="I1524" s="65"/>
      <c r="J1524" s="66"/>
      <c r="K1524" s="1407"/>
      <c r="L1524" s="1409"/>
      <c r="M1524" s="668"/>
    </row>
    <row r="1525" spans="1:13" s="67" customFormat="1">
      <c r="A1525" s="1406"/>
      <c r="B1525" s="1407"/>
      <c r="C1525" s="668"/>
      <c r="D1525" s="666"/>
      <c r="E1525" s="667"/>
      <c r="F1525" s="667"/>
      <c r="G1525" s="668"/>
      <c r="H1525" s="1408"/>
      <c r="I1525" s="65"/>
      <c r="J1525" s="66"/>
      <c r="K1525" s="1407"/>
      <c r="L1525" s="1409"/>
      <c r="M1525" s="668"/>
    </row>
    <row r="1526" spans="1:13" s="67" customFormat="1">
      <c r="A1526" s="1406"/>
      <c r="B1526" s="1407"/>
      <c r="C1526" s="668"/>
      <c r="D1526" s="666"/>
      <c r="E1526" s="667"/>
      <c r="F1526" s="667"/>
      <c r="G1526" s="668"/>
      <c r="H1526" s="1408"/>
      <c r="I1526" s="65"/>
      <c r="J1526" s="66"/>
      <c r="K1526" s="1407"/>
      <c r="L1526" s="1409"/>
      <c r="M1526" s="668"/>
    </row>
    <row r="1527" spans="1:13" s="67" customFormat="1">
      <c r="A1527" s="1406"/>
      <c r="B1527" s="1407"/>
      <c r="C1527" s="668"/>
      <c r="D1527" s="666"/>
      <c r="E1527" s="667"/>
      <c r="F1527" s="667"/>
      <c r="G1527" s="668"/>
      <c r="H1527" s="1408"/>
      <c r="I1527" s="65"/>
      <c r="J1527" s="66"/>
      <c r="K1527" s="1407"/>
      <c r="L1527" s="1409"/>
      <c r="M1527" s="668"/>
    </row>
    <row r="1528" spans="1:13" s="67" customFormat="1">
      <c r="A1528" s="1406"/>
      <c r="B1528" s="1407"/>
      <c r="C1528" s="668"/>
      <c r="D1528" s="666"/>
      <c r="E1528" s="667"/>
      <c r="F1528" s="667"/>
      <c r="G1528" s="668"/>
      <c r="H1528" s="1408"/>
      <c r="I1528" s="65"/>
      <c r="J1528" s="66"/>
      <c r="K1528" s="1407"/>
      <c r="L1528" s="1409"/>
      <c r="M1528" s="668"/>
    </row>
    <row r="1529" spans="1:13" s="67" customFormat="1">
      <c r="A1529" s="1406"/>
      <c r="B1529" s="1407"/>
      <c r="C1529" s="668"/>
      <c r="D1529" s="666"/>
      <c r="E1529" s="667"/>
      <c r="F1529" s="667"/>
      <c r="G1529" s="668"/>
      <c r="H1529" s="1408"/>
      <c r="I1529" s="65"/>
      <c r="J1529" s="66"/>
      <c r="K1529" s="1407"/>
      <c r="L1529" s="1409"/>
      <c r="M1529" s="668"/>
    </row>
    <row r="1530" spans="1:13" s="67" customFormat="1">
      <c r="A1530" s="1406"/>
      <c r="B1530" s="1407"/>
      <c r="C1530" s="668"/>
      <c r="D1530" s="666"/>
      <c r="E1530" s="667"/>
      <c r="F1530" s="667"/>
      <c r="G1530" s="668"/>
      <c r="H1530" s="1408"/>
      <c r="I1530" s="65"/>
      <c r="J1530" s="66"/>
      <c r="K1530" s="1407"/>
      <c r="L1530" s="1409"/>
      <c r="M1530" s="668"/>
    </row>
    <row r="1531" spans="1:13" s="67" customFormat="1">
      <c r="A1531" s="1406"/>
      <c r="B1531" s="1407"/>
      <c r="C1531" s="668"/>
      <c r="D1531" s="666"/>
      <c r="E1531" s="667"/>
      <c r="F1531" s="667"/>
      <c r="G1531" s="668"/>
      <c r="H1531" s="1408"/>
      <c r="I1531" s="65"/>
      <c r="J1531" s="66"/>
      <c r="K1531" s="1407"/>
      <c r="L1531" s="1409"/>
      <c r="M1531" s="668"/>
    </row>
    <row r="1532" spans="1:13" s="67" customFormat="1">
      <c r="A1532" s="1406"/>
      <c r="B1532" s="1407"/>
      <c r="C1532" s="668"/>
      <c r="D1532" s="666"/>
      <c r="E1532" s="667"/>
      <c r="F1532" s="667"/>
      <c r="G1532" s="668"/>
      <c r="H1532" s="1408"/>
      <c r="I1532" s="65"/>
      <c r="J1532" s="66"/>
      <c r="K1532" s="1407"/>
      <c r="L1532" s="1409"/>
      <c r="M1532" s="668"/>
    </row>
    <row r="1533" spans="1:13" s="67" customFormat="1">
      <c r="A1533" s="1406"/>
      <c r="B1533" s="1407"/>
      <c r="C1533" s="668"/>
      <c r="D1533" s="666"/>
      <c r="E1533" s="667"/>
      <c r="F1533" s="667"/>
      <c r="G1533" s="668"/>
      <c r="H1533" s="1408"/>
      <c r="I1533" s="65"/>
      <c r="J1533" s="66"/>
      <c r="K1533" s="1407"/>
      <c r="L1533" s="1409"/>
      <c r="M1533" s="668"/>
    </row>
    <row r="1534" spans="1:13" s="67" customFormat="1">
      <c r="A1534" s="1406"/>
      <c r="B1534" s="1407"/>
      <c r="C1534" s="668"/>
      <c r="D1534" s="666"/>
      <c r="E1534" s="667"/>
      <c r="F1534" s="667"/>
      <c r="G1534" s="668"/>
      <c r="H1534" s="1408"/>
      <c r="I1534" s="65"/>
      <c r="J1534" s="66"/>
      <c r="K1534" s="1407"/>
      <c r="L1534" s="1409"/>
      <c r="M1534" s="668"/>
    </row>
    <row r="1535" spans="1:13" s="67" customFormat="1">
      <c r="A1535" s="1406"/>
      <c r="B1535" s="1407"/>
      <c r="C1535" s="668"/>
      <c r="D1535" s="666"/>
      <c r="E1535" s="667"/>
      <c r="F1535" s="667"/>
      <c r="G1535" s="668"/>
      <c r="H1535" s="1408"/>
      <c r="I1535" s="65"/>
      <c r="J1535" s="66"/>
      <c r="K1535" s="1407"/>
      <c r="L1535" s="1409"/>
      <c r="M1535" s="668"/>
    </row>
    <row r="1536" spans="1:13" s="67" customFormat="1">
      <c r="A1536" s="1406"/>
      <c r="B1536" s="1407"/>
      <c r="C1536" s="668"/>
      <c r="D1536" s="666"/>
      <c r="E1536" s="667"/>
      <c r="F1536" s="667"/>
      <c r="G1536" s="668"/>
      <c r="H1536" s="1408"/>
      <c r="I1536" s="65"/>
      <c r="J1536" s="66"/>
      <c r="K1536" s="1407"/>
      <c r="L1536" s="1409"/>
      <c r="M1536" s="668"/>
    </row>
    <row r="1537" spans="1:13" s="67" customFormat="1">
      <c r="A1537" s="1406"/>
      <c r="B1537" s="1407"/>
      <c r="C1537" s="668"/>
      <c r="D1537" s="666"/>
      <c r="E1537" s="667"/>
      <c r="F1537" s="667"/>
      <c r="G1537" s="668"/>
      <c r="H1537" s="1408"/>
      <c r="I1537" s="65"/>
      <c r="J1537" s="66"/>
      <c r="K1537" s="1407"/>
      <c r="L1537" s="1409"/>
      <c r="M1537" s="668"/>
    </row>
    <row r="1538" spans="1:13" s="67" customFormat="1">
      <c r="A1538" s="1406"/>
      <c r="B1538" s="1407"/>
      <c r="C1538" s="668"/>
      <c r="D1538" s="666"/>
      <c r="E1538" s="667"/>
      <c r="F1538" s="667"/>
      <c r="G1538" s="668"/>
      <c r="H1538" s="1408"/>
      <c r="I1538" s="65"/>
      <c r="J1538" s="66"/>
      <c r="K1538" s="1407"/>
      <c r="L1538" s="1409"/>
      <c r="M1538" s="668"/>
    </row>
    <row r="1539" spans="1:13" s="67" customFormat="1">
      <c r="A1539" s="1406"/>
      <c r="B1539" s="1407"/>
      <c r="C1539" s="668"/>
      <c r="D1539" s="666"/>
      <c r="E1539" s="667"/>
      <c r="F1539" s="667"/>
      <c r="G1539" s="668"/>
      <c r="H1539" s="1408"/>
      <c r="I1539" s="65"/>
      <c r="J1539" s="66"/>
      <c r="K1539" s="1407"/>
      <c r="L1539" s="1409"/>
      <c r="M1539" s="668"/>
    </row>
    <row r="1540" spans="1:13" s="67" customFormat="1">
      <c r="A1540" s="1406"/>
      <c r="B1540" s="1407"/>
      <c r="C1540" s="668"/>
      <c r="D1540" s="666"/>
      <c r="E1540" s="667"/>
      <c r="F1540" s="667"/>
      <c r="G1540" s="668"/>
      <c r="H1540" s="1408"/>
      <c r="I1540" s="65"/>
      <c r="J1540" s="66"/>
      <c r="K1540" s="1407"/>
      <c r="L1540" s="1409"/>
      <c r="M1540" s="668"/>
    </row>
    <row r="1541" spans="1:13" s="67" customFormat="1">
      <c r="A1541" s="1406"/>
      <c r="B1541" s="1407"/>
      <c r="C1541" s="668"/>
      <c r="D1541" s="666"/>
      <c r="E1541" s="667"/>
      <c r="F1541" s="667"/>
      <c r="G1541" s="668"/>
      <c r="H1541" s="1408"/>
      <c r="I1541" s="65"/>
      <c r="J1541" s="66"/>
      <c r="K1541" s="1407"/>
      <c r="L1541" s="1409"/>
      <c r="M1541" s="668"/>
    </row>
    <row r="1542" spans="1:13" s="67" customFormat="1">
      <c r="A1542" s="1406"/>
      <c r="B1542" s="1407"/>
      <c r="C1542" s="668"/>
      <c r="D1542" s="666"/>
      <c r="E1542" s="667"/>
      <c r="F1542" s="667"/>
      <c r="G1542" s="668"/>
      <c r="H1542" s="1408"/>
      <c r="I1542" s="65"/>
      <c r="J1542" s="66"/>
      <c r="K1542" s="1407"/>
      <c r="L1542" s="1409"/>
      <c r="M1542" s="668"/>
    </row>
    <row r="1543" spans="1:13" s="67" customFormat="1">
      <c r="A1543" s="1406"/>
      <c r="B1543" s="1407"/>
      <c r="C1543" s="668"/>
      <c r="D1543" s="666"/>
      <c r="E1543" s="667"/>
      <c r="F1543" s="667"/>
      <c r="G1543" s="668"/>
      <c r="H1543" s="1408"/>
      <c r="I1543" s="65"/>
      <c r="J1543" s="66"/>
      <c r="K1543" s="1407"/>
      <c r="L1543" s="1409"/>
      <c r="M1543" s="668"/>
    </row>
    <row r="1544" spans="1:13" s="67" customFormat="1">
      <c r="A1544" s="1406"/>
      <c r="B1544" s="1407"/>
      <c r="C1544" s="668"/>
      <c r="D1544" s="666"/>
      <c r="E1544" s="667"/>
      <c r="F1544" s="667"/>
      <c r="G1544" s="668"/>
      <c r="H1544" s="1408"/>
      <c r="I1544" s="65"/>
      <c r="J1544" s="66"/>
      <c r="K1544" s="1407"/>
      <c r="L1544" s="1409"/>
      <c r="M1544" s="668"/>
    </row>
    <row r="1545" spans="1:13" s="67" customFormat="1">
      <c r="A1545" s="1406"/>
      <c r="B1545" s="1407"/>
      <c r="C1545" s="668"/>
      <c r="D1545" s="666"/>
      <c r="E1545" s="667"/>
      <c r="F1545" s="667"/>
      <c r="G1545" s="668"/>
      <c r="H1545" s="1408"/>
      <c r="I1545" s="65"/>
      <c r="J1545" s="66"/>
      <c r="K1545" s="1407"/>
      <c r="L1545" s="1409"/>
      <c r="M1545" s="668"/>
    </row>
    <row r="1546" spans="1:13" s="67" customFormat="1">
      <c r="A1546" s="1406"/>
      <c r="B1546" s="1407"/>
      <c r="C1546" s="668"/>
      <c r="D1546" s="666"/>
      <c r="E1546" s="667"/>
      <c r="F1546" s="667"/>
      <c r="G1546" s="668"/>
      <c r="H1546" s="1408"/>
      <c r="I1546" s="65"/>
      <c r="J1546" s="66"/>
      <c r="K1546" s="1407"/>
      <c r="L1546" s="1409"/>
      <c r="M1546" s="668"/>
    </row>
    <row r="1547" spans="1:13" s="67" customFormat="1">
      <c r="A1547" s="1406"/>
      <c r="B1547" s="1407"/>
      <c r="C1547" s="668"/>
      <c r="D1547" s="666"/>
      <c r="E1547" s="667"/>
      <c r="F1547" s="667"/>
      <c r="G1547" s="668"/>
      <c r="H1547" s="1408"/>
      <c r="I1547" s="65"/>
      <c r="J1547" s="66"/>
      <c r="K1547" s="1407"/>
      <c r="L1547" s="1409"/>
      <c r="M1547" s="668"/>
    </row>
    <row r="1548" spans="1:13" s="67" customFormat="1">
      <c r="A1548" s="1406"/>
      <c r="B1548" s="1407"/>
      <c r="C1548" s="668"/>
      <c r="D1548" s="666"/>
      <c r="E1548" s="667"/>
      <c r="F1548" s="667"/>
      <c r="G1548" s="668"/>
      <c r="H1548" s="1408"/>
      <c r="I1548" s="65"/>
      <c r="J1548" s="66"/>
      <c r="K1548" s="1407"/>
      <c r="L1548" s="1409"/>
      <c r="M1548" s="668"/>
    </row>
    <row r="1549" spans="1:13" s="67" customFormat="1">
      <c r="A1549" s="1406"/>
      <c r="B1549" s="1407"/>
      <c r="C1549" s="668"/>
      <c r="D1549" s="666"/>
      <c r="E1549" s="667"/>
      <c r="F1549" s="667"/>
      <c r="G1549" s="668"/>
      <c r="H1549" s="1408"/>
      <c r="I1549" s="65"/>
      <c r="J1549" s="66"/>
      <c r="K1549" s="1407"/>
      <c r="L1549" s="1409"/>
      <c r="M1549" s="668"/>
    </row>
    <row r="1550" spans="1:13" s="67" customFormat="1">
      <c r="A1550" s="1406"/>
      <c r="B1550" s="1407"/>
      <c r="C1550" s="668"/>
      <c r="D1550" s="666"/>
      <c r="E1550" s="667"/>
      <c r="F1550" s="667"/>
      <c r="G1550" s="668"/>
      <c r="H1550" s="1408"/>
      <c r="I1550" s="65"/>
      <c r="J1550" s="66"/>
      <c r="K1550" s="1407"/>
      <c r="L1550" s="1409"/>
      <c r="M1550" s="668"/>
    </row>
    <row r="1551" spans="1:13" s="67" customFormat="1">
      <c r="A1551" s="1406"/>
      <c r="B1551" s="1407"/>
      <c r="C1551" s="668"/>
      <c r="D1551" s="666"/>
      <c r="E1551" s="667"/>
      <c r="F1551" s="667"/>
      <c r="G1551" s="668"/>
      <c r="H1551" s="1408"/>
      <c r="I1551" s="65"/>
      <c r="J1551" s="66"/>
      <c r="K1551" s="1407"/>
      <c r="L1551" s="1409"/>
      <c r="M1551" s="668"/>
    </row>
    <row r="1552" spans="1:13" s="67" customFormat="1">
      <c r="A1552" s="1406"/>
      <c r="B1552" s="1407"/>
      <c r="C1552" s="668"/>
      <c r="D1552" s="666"/>
      <c r="E1552" s="667"/>
      <c r="F1552" s="667"/>
      <c r="G1552" s="668"/>
      <c r="H1552" s="1408"/>
      <c r="I1552" s="65"/>
      <c r="J1552" s="66"/>
      <c r="K1552" s="1407"/>
      <c r="L1552" s="1409"/>
      <c r="M1552" s="668"/>
    </row>
    <row r="1553" spans="1:13" s="67" customFormat="1">
      <c r="A1553" s="1406"/>
      <c r="B1553" s="1407"/>
      <c r="C1553" s="668"/>
      <c r="D1553" s="666"/>
      <c r="E1553" s="667"/>
      <c r="F1553" s="667"/>
      <c r="G1553" s="668"/>
      <c r="H1553" s="1408"/>
      <c r="I1553" s="65"/>
      <c r="J1553" s="66"/>
      <c r="K1553" s="1407"/>
      <c r="L1553" s="1409"/>
      <c r="M1553" s="668"/>
    </row>
    <row r="1554" spans="1:13" s="67" customFormat="1">
      <c r="A1554" s="1406"/>
      <c r="B1554" s="1407"/>
      <c r="C1554" s="668"/>
      <c r="D1554" s="666"/>
      <c r="E1554" s="667"/>
      <c r="F1554" s="667"/>
      <c r="G1554" s="668"/>
      <c r="H1554" s="1408"/>
      <c r="I1554" s="65"/>
      <c r="J1554" s="66"/>
      <c r="K1554" s="1407"/>
      <c r="L1554" s="1409"/>
      <c r="M1554" s="668"/>
    </row>
    <row r="1555" spans="1:13" s="67" customFormat="1">
      <c r="A1555" s="1406"/>
      <c r="B1555" s="1407"/>
      <c r="C1555" s="668"/>
      <c r="D1555" s="666"/>
      <c r="E1555" s="667"/>
      <c r="F1555" s="667"/>
      <c r="G1555" s="668"/>
      <c r="H1555" s="1408"/>
      <c r="I1555" s="65"/>
      <c r="J1555" s="66"/>
      <c r="K1555" s="1407"/>
      <c r="L1555" s="1409"/>
      <c r="M1555" s="668"/>
    </row>
    <row r="1556" spans="1:13" s="67" customFormat="1">
      <c r="A1556" s="1406"/>
      <c r="B1556" s="1407"/>
      <c r="C1556" s="668"/>
      <c r="D1556" s="666"/>
      <c r="E1556" s="667"/>
      <c r="F1556" s="667"/>
      <c r="G1556" s="668"/>
      <c r="H1556" s="1408"/>
      <c r="I1556" s="65"/>
      <c r="J1556" s="66"/>
      <c r="K1556" s="1407"/>
      <c r="L1556" s="1409"/>
      <c r="M1556" s="668"/>
    </row>
    <row r="1557" spans="1:13" s="67" customFormat="1">
      <c r="A1557" s="1406"/>
      <c r="B1557" s="1407"/>
      <c r="C1557" s="668"/>
      <c r="D1557" s="666"/>
      <c r="E1557" s="667"/>
      <c r="F1557" s="667"/>
      <c r="G1557" s="668"/>
      <c r="H1557" s="1408"/>
      <c r="I1557" s="65"/>
      <c r="J1557" s="66"/>
      <c r="K1557" s="1407"/>
      <c r="L1557" s="1409"/>
      <c r="M1557" s="668"/>
    </row>
    <row r="1558" spans="1:13" s="67" customFormat="1">
      <c r="A1558" s="1406"/>
      <c r="B1558" s="1407"/>
      <c r="C1558" s="668"/>
      <c r="D1558" s="666"/>
      <c r="E1558" s="667"/>
      <c r="F1558" s="667"/>
      <c r="G1558" s="668"/>
      <c r="H1558" s="1408"/>
      <c r="I1558" s="65"/>
      <c r="J1558" s="66"/>
      <c r="K1558" s="1407"/>
      <c r="L1558" s="1409"/>
      <c r="M1558" s="668"/>
    </row>
    <row r="1559" spans="1:13" s="67" customFormat="1">
      <c r="A1559" s="1406"/>
      <c r="B1559" s="1407"/>
      <c r="C1559" s="668"/>
      <c r="D1559" s="666"/>
      <c r="E1559" s="667"/>
      <c r="F1559" s="667"/>
      <c r="G1559" s="668"/>
      <c r="H1559" s="1408"/>
      <c r="I1559" s="65"/>
      <c r="J1559" s="66"/>
      <c r="K1559" s="1407"/>
      <c r="L1559" s="1409"/>
      <c r="M1559" s="668"/>
    </row>
    <row r="1560" spans="1:13" s="67" customFormat="1">
      <c r="A1560" s="1406"/>
      <c r="B1560" s="1407"/>
      <c r="C1560" s="668"/>
      <c r="D1560" s="666"/>
      <c r="E1560" s="667"/>
      <c r="F1560" s="667"/>
      <c r="G1560" s="668"/>
      <c r="H1560" s="1408"/>
      <c r="I1560" s="65"/>
      <c r="J1560" s="66"/>
      <c r="K1560" s="1407"/>
      <c r="L1560" s="1409"/>
      <c r="M1560" s="668"/>
    </row>
    <row r="1561" spans="1:13" s="67" customFormat="1">
      <c r="A1561" s="1406"/>
      <c r="B1561" s="1407"/>
      <c r="C1561" s="668"/>
      <c r="D1561" s="666"/>
      <c r="E1561" s="667"/>
      <c r="F1561" s="667"/>
      <c r="G1561" s="668"/>
      <c r="H1561" s="1408"/>
      <c r="I1561" s="65"/>
      <c r="J1561" s="66"/>
      <c r="K1561" s="1407"/>
      <c r="L1561" s="1409"/>
      <c r="M1561" s="668"/>
    </row>
    <row r="1562" spans="1:13" s="67" customFormat="1">
      <c r="A1562" s="1406"/>
      <c r="B1562" s="1407"/>
      <c r="C1562" s="668"/>
      <c r="D1562" s="666"/>
      <c r="E1562" s="667"/>
      <c r="F1562" s="667"/>
      <c r="G1562" s="668"/>
      <c r="H1562" s="1408"/>
      <c r="I1562" s="65"/>
      <c r="J1562" s="66"/>
      <c r="K1562" s="1407"/>
      <c r="L1562" s="1409"/>
      <c r="M1562" s="668"/>
    </row>
    <row r="1563" spans="1:13" s="67" customFormat="1">
      <c r="A1563" s="1406"/>
      <c r="B1563" s="1407"/>
      <c r="C1563" s="668"/>
      <c r="D1563" s="666"/>
      <c r="E1563" s="667"/>
      <c r="F1563" s="667"/>
      <c r="G1563" s="668"/>
      <c r="H1563" s="1408"/>
      <c r="I1563" s="65"/>
      <c r="J1563" s="66"/>
      <c r="K1563" s="1407"/>
      <c r="L1563" s="1409"/>
      <c r="M1563" s="668"/>
    </row>
    <row r="1564" spans="1:13" s="67" customFormat="1">
      <c r="A1564" s="1406"/>
      <c r="B1564" s="1407"/>
      <c r="C1564" s="668"/>
      <c r="D1564" s="666"/>
      <c r="E1564" s="667"/>
      <c r="F1564" s="667"/>
      <c r="G1564" s="668"/>
      <c r="H1564" s="1408"/>
      <c r="I1564" s="65"/>
      <c r="J1564" s="66"/>
      <c r="K1564" s="1407"/>
      <c r="L1564" s="1409"/>
      <c r="M1564" s="668"/>
    </row>
    <row r="1565" spans="1:13" s="67" customFormat="1">
      <c r="A1565" s="1406"/>
      <c r="B1565" s="1407"/>
      <c r="C1565" s="668"/>
      <c r="D1565" s="666"/>
      <c r="E1565" s="667"/>
      <c r="F1565" s="667"/>
      <c r="G1565" s="668"/>
      <c r="H1565" s="1408"/>
      <c r="I1565" s="65"/>
      <c r="J1565" s="66"/>
      <c r="K1565" s="1407"/>
      <c r="L1565" s="1409"/>
      <c r="M1565" s="668"/>
    </row>
    <row r="1566" spans="1:13" s="67" customFormat="1">
      <c r="A1566" s="1406"/>
      <c r="B1566" s="1407"/>
      <c r="C1566" s="668"/>
      <c r="D1566" s="666"/>
      <c r="E1566" s="667"/>
      <c r="F1566" s="667"/>
      <c r="G1566" s="668"/>
      <c r="H1566" s="1408"/>
      <c r="I1566" s="65"/>
      <c r="J1566" s="66"/>
      <c r="K1566" s="1407"/>
      <c r="L1566" s="1409"/>
      <c r="M1566" s="668"/>
    </row>
    <row r="1567" spans="1:13" s="67" customFormat="1">
      <c r="A1567" s="1406"/>
      <c r="B1567" s="1407"/>
      <c r="C1567" s="668"/>
      <c r="D1567" s="666"/>
      <c r="E1567" s="667"/>
      <c r="F1567" s="667"/>
      <c r="G1567" s="668"/>
      <c r="H1567" s="1408"/>
      <c r="I1567" s="65"/>
      <c r="J1567" s="66"/>
      <c r="K1567" s="1407"/>
      <c r="L1567" s="1409"/>
      <c r="M1567" s="668"/>
    </row>
    <row r="1568" spans="1:13" s="67" customFormat="1">
      <c r="A1568" s="1406"/>
      <c r="B1568" s="1407"/>
      <c r="C1568" s="668"/>
      <c r="D1568" s="666"/>
      <c r="E1568" s="667"/>
      <c r="F1568" s="667"/>
      <c r="G1568" s="668"/>
      <c r="H1568" s="1408"/>
      <c r="I1568" s="65"/>
      <c r="J1568" s="66"/>
      <c r="K1568" s="1407"/>
      <c r="L1568" s="1409"/>
      <c r="M1568" s="668"/>
    </row>
    <row r="1569" spans="1:13" s="67" customFormat="1">
      <c r="A1569" s="1406"/>
      <c r="B1569" s="1407"/>
      <c r="C1569" s="668"/>
      <c r="D1569" s="666"/>
      <c r="E1569" s="667"/>
      <c r="F1569" s="667"/>
      <c r="G1569" s="668"/>
      <c r="H1569" s="1408"/>
      <c r="I1569" s="65"/>
      <c r="J1569" s="66"/>
      <c r="K1569" s="1407"/>
      <c r="L1569" s="1409"/>
      <c r="M1569" s="668"/>
    </row>
    <row r="1570" spans="1:13" s="67" customFormat="1">
      <c r="A1570" s="1406"/>
      <c r="B1570" s="1407"/>
      <c r="C1570" s="668"/>
      <c r="D1570" s="666"/>
      <c r="E1570" s="667"/>
      <c r="F1570" s="667"/>
      <c r="G1570" s="668"/>
      <c r="H1570" s="1408"/>
      <c r="I1570" s="65"/>
      <c r="J1570" s="66"/>
      <c r="K1570" s="1407"/>
      <c r="L1570" s="1409"/>
      <c r="M1570" s="668"/>
    </row>
    <row r="1571" spans="1:13" s="67" customFormat="1">
      <c r="A1571" s="1406"/>
      <c r="B1571" s="1407"/>
      <c r="C1571" s="668"/>
      <c r="D1571" s="666"/>
      <c r="E1571" s="667"/>
      <c r="F1571" s="667"/>
      <c r="G1571" s="668"/>
      <c r="H1571" s="1408"/>
      <c r="I1571" s="65"/>
      <c r="J1571" s="66"/>
      <c r="K1571" s="1407"/>
      <c r="L1571" s="1409"/>
      <c r="M1571" s="668"/>
    </row>
    <row r="1572" spans="1:13" s="67" customFormat="1">
      <c r="A1572" s="1406"/>
      <c r="B1572" s="1407"/>
      <c r="C1572" s="668"/>
      <c r="D1572" s="666"/>
      <c r="E1572" s="667"/>
      <c r="F1572" s="667"/>
      <c r="G1572" s="668"/>
      <c r="H1572" s="1408"/>
      <c r="I1572" s="65"/>
      <c r="J1572" s="66"/>
      <c r="K1572" s="1407"/>
      <c r="L1572" s="1409"/>
      <c r="M1572" s="668"/>
    </row>
    <row r="1573" spans="1:13" s="67" customFormat="1">
      <c r="A1573" s="1406"/>
      <c r="B1573" s="1407"/>
      <c r="C1573" s="668"/>
      <c r="D1573" s="666"/>
      <c r="E1573" s="667"/>
      <c r="F1573" s="667"/>
      <c r="G1573" s="668"/>
      <c r="H1573" s="1408"/>
      <c r="I1573" s="65"/>
      <c r="J1573" s="66"/>
      <c r="K1573" s="1407"/>
      <c r="L1573" s="1409"/>
      <c r="M1573" s="668"/>
    </row>
    <row r="1574" spans="1:13" s="67" customFormat="1">
      <c r="A1574" s="1406"/>
      <c r="B1574" s="1407"/>
      <c r="C1574" s="668"/>
      <c r="D1574" s="666"/>
      <c r="E1574" s="667"/>
      <c r="F1574" s="667"/>
      <c r="G1574" s="668"/>
      <c r="H1574" s="1408"/>
      <c r="I1574" s="65"/>
      <c r="J1574" s="66"/>
      <c r="K1574" s="1407"/>
      <c r="L1574" s="1409"/>
      <c r="M1574" s="668"/>
    </row>
    <row r="1575" spans="1:13" s="67" customFormat="1">
      <c r="A1575" s="1406"/>
      <c r="B1575" s="1407"/>
      <c r="C1575" s="668"/>
      <c r="D1575" s="666"/>
      <c r="E1575" s="667"/>
      <c r="F1575" s="667"/>
      <c r="G1575" s="668"/>
      <c r="H1575" s="1408"/>
      <c r="I1575" s="65"/>
      <c r="J1575" s="66"/>
      <c r="K1575" s="1407"/>
      <c r="L1575" s="1409"/>
      <c r="M1575" s="668"/>
    </row>
    <row r="1576" spans="1:13" s="67" customFormat="1">
      <c r="A1576" s="1406"/>
      <c r="B1576" s="1407"/>
      <c r="C1576" s="668"/>
      <c r="D1576" s="666"/>
      <c r="E1576" s="667"/>
      <c r="F1576" s="667"/>
      <c r="G1576" s="668"/>
      <c r="H1576" s="1408"/>
      <c r="I1576" s="65"/>
      <c r="J1576" s="66"/>
      <c r="K1576" s="1407"/>
      <c r="L1576" s="1409"/>
      <c r="M1576" s="668"/>
    </row>
    <row r="1577" spans="1:13" s="67" customFormat="1">
      <c r="A1577" s="1406"/>
      <c r="B1577" s="1407"/>
      <c r="C1577" s="668"/>
      <c r="D1577" s="666"/>
      <c r="E1577" s="667"/>
      <c r="F1577" s="667"/>
      <c r="G1577" s="668"/>
      <c r="H1577" s="1408"/>
      <c r="I1577" s="65"/>
      <c r="J1577" s="66"/>
      <c r="K1577" s="1407"/>
      <c r="L1577" s="1409"/>
      <c r="M1577" s="668"/>
    </row>
    <row r="1578" spans="1:13" s="67" customFormat="1">
      <c r="A1578" s="1406"/>
      <c r="B1578" s="1407"/>
      <c r="C1578" s="668"/>
      <c r="D1578" s="666"/>
      <c r="E1578" s="667"/>
      <c r="F1578" s="667"/>
      <c r="G1578" s="668"/>
      <c r="H1578" s="1408"/>
      <c r="I1578" s="65"/>
      <c r="J1578" s="66"/>
      <c r="K1578" s="1407"/>
      <c r="L1578" s="1409"/>
      <c r="M1578" s="668"/>
    </row>
    <row r="1579" spans="1:13" s="67" customFormat="1">
      <c r="A1579" s="1406"/>
      <c r="B1579" s="1407"/>
      <c r="C1579" s="668"/>
      <c r="D1579" s="666"/>
      <c r="E1579" s="667"/>
      <c r="F1579" s="667"/>
      <c r="G1579" s="668"/>
      <c r="H1579" s="1408"/>
      <c r="I1579" s="65"/>
      <c r="J1579" s="66"/>
      <c r="K1579" s="1407"/>
      <c r="L1579" s="1409"/>
      <c r="M1579" s="668"/>
    </row>
    <row r="1580" spans="1:13" s="67" customFormat="1">
      <c r="A1580" s="1406"/>
      <c r="B1580" s="1407"/>
      <c r="C1580" s="668"/>
      <c r="D1580" s="666"/>
      <c r="E1580" s="667"/>
      <c r="F1580" s="667"/>
      <c r="G1580" s="668"/>
      <c r="H1580" s="1408"/>
      <c r="I1580" s="65"/>
      <c r="J1580" s="66"/>
      <c r="K1580" s="1407"/>
      <c r="L1580" s="1409"/>
      <c r="M1580" s="668"/>
    </row>
    <row r="1581" spans="1:13" s="67" customFormat="1">
      <c r="A1581" s="1406"/>
      <c r="B1581" s="1407"/>
      <c r="C1581" s="668"/>
      <c r="D1581" s="666"/>
      <c r="E1581" s="667"/>
      <c r="F1581" s="667"/>
      <c r="G1581" s="668"/>
      <c r="H1581" s="1408"/>
      <c r="I1581" s="65"/>
      <c r="J1581" s="66"/>
      <c r="K1581" s="1407"/>
      <c r="L1581" s="1409"/>
      <c r="M1581" s="668"/>
    </row>
    <row r="1582" spans="1:13" s="67" customFormat="1">
      <c r="A1582" s="1406"/>
      <c r="B1582" s="1407"/>
      <c r="C1582" s="668"/>
      <c r="D1582" s="666"/>
      <c r="E1582" s="667"/>
      <c r="F1582" s="667"/>
      <c r="G1582" s="668"/>
      <c r="H1582" s="1408"/>
      <c r="I1582" s="65"/>
      <c r="J1582" s="66"/>
      <c r="K1582" s="1407"/>
      <c r="L1582" s="1409"/>
      <c r="M1582" s="668"/>
    </row>
    <row r="1583" spans="1:13" s="67" customFormat="1">
      <c r="A1583" s="1406"/>
      <c r="B1583" s="1407"/>
      <c r="C1583" s="668"/>
      <c r="D1583" s="666"/>
      <c r="E1583" s="667"/>
      <c r="F1583" s="667"/>
      <c r="G1583" s="668"/>
      <c r="H1583" s="1408"/>
      <c r="I1583" s="65"/>
      <c r="J1583" s="66"/>
      <c r="K1583" s="1407"/>
      <c r="L1583" s="1409"/>
      <c r="M1583" s="668"/>
    </row>
    <row r="1584" spans="1:13" s="67" customFormat="1">
      <c r="A1584" s="1406"/>
      <c r="B1584" s="1407"/>
      <c r="C1584" s="668"/>
      <c r="D1584" s="666"/>
      <c r="E1584" s="667"/>
      <c r="F1584" s="667"/>
      <c r="G1584" s="668"/>
      <c r="H1584" s="1408"/>
      <c r="I1584" s="65"/>
      <c r="J1584" s="66"/>
      <c r="K1584" s="1407"/>
      <c r="L1584" s="1409"/>
      <c r="M1584" s="668"/>
    </row>
    <row r="1585" spans="1:13" s="67" customFormat="1">
      <c r="A1585" s="1406"/>
      <c r="B1585" s="1407"/>
      <c r="C1585" s="668"/>
      <c r="D1585" s="666"/>
      <c r="E1585" s="667"/>
      <c r="F1585" s="667"/>
      <c r="G1585" s="668"/>
      <c r="H1585" s="1408"/>
      <c r="I1585" s="65"/>
      <c r="J1585" s="66"/>
      <c r="K1585" s="1407"/>
      <c r="L1585" s="1409"/>
      <c r="M1585" s="668"/>
    </row>
    <row r="1586" spans="1:13" s="67" customFormat="1">
      <c r="A1586" s="1406"/>
      <c r="B1586" s="1407"/>
      <c r="C1586" s="668"/>
      <c r="D1586" s="666"/>
      <c r="E1586" s="667"/>
      <c r="F1586" s="667"/>
      <c r="G1586" s="668"/>
      <c r="H1586" s="1408"/>
      <c r="I1586" s="65"/>
      <c r="J1586" s="66"/>
      <c r="K1586" s="1407"/>
      <c r="L1586" s="1409"/>
      <c r="M1586" s="668"/>
    </row>
    <row r="1587" spans="1:13" s="67" customFormat="1">
      <c r="A1587" s="1406"/>
      <c r="B1587" s="1407"/>
      <c r="C1587" s="668"/>
      <c r="D1587" s="666"/>
      <c r="E1587" s="667"/>
      <c r="F1587" s="667"/>
      <c r="G1587" s="668"/>
      <c r="H1587" s="1408"/>
      <c r="I1587" s="65"/>
      <c r="J1587" s="66"/>
      <c r="K1587" s="1407"/>
      <c r="L1587" s="1409"/>
      <c r="M1587" s="668"/>
    </row>
    <row r="1588" spans="1:13" s="67" customFormat="1">
      <c r="A1588" s="1406"/>
      <c r="B1588" s="1407"/>
      <c r="C1588" s="668"/>
      <c r="D1588" s="666"/>
      <c r="E1588" s="667"/>
      <c r="F1588" s="667"/>
      <c r="G1588" s="668"/>
      <c r="H1588" s="1408"/>
      <c r="I1588" s="65"/>
      <c r="J1588" s="66"/>
      <c r="K1588" s="1407"/>
      <c r="L1588" s="1409"/>
      <c r="M1588" s="668"/>
    </row>
    <row r="1589" spans="1:13" s="67" customFormat="1">
      <c r="A1589" s="1406"/>
      <c r="B1589" s="1407"/>
      <c r="C1589" s="668"/>
      <c r="D1589" s="666"/>
      <c r="E1589" s="667"/>
      <c r="F1589" s="667"/>
      <c r="G1589" s="668"/>
      <c r="H1589" s="1408"/>
      <c r="I1589" s="65"/>
      <c r="J1589" s="66"/>
      <c r="K1589" s="1407"/>
      <c r="L1589" s="1409"/>
      <c r="M1589" s="668"/>
    </row>
    <row r="1590" spans="1:13" s="67" customFormat="1">
      <c r="A1590" s="1406"/>
      <c r="B1590" s="1407"/>
      <c r="C1590" s="668"/>
      <c r="D1590" s="666"/>
      <c r="E1590" s="667"/>
      <c r="F1590" s="667"/>
      <c r="G1590" s="668"/>
      <c r="H1590" s="1408"/>
      <c r="I1590" s="65"/>
      <c r="J1590" s="66"/>
      <c r="K1590" s="1407"/>
      <c r="L1590" s="1409"/>
      <c r="M1590" s="668"/>
    </row>
    <row r="1591" spans="1:13" s="67" customFormat="1">
      <c r="A1591" s="1406"/>
      <c r="B1591" s="1407"/>
      <c r="C1591" s="668"/>
      <c r="D1591" s="666"/>
      <c r="E1591" s="667"/>
      <c r="F1591" s="667"/>
      <c r="G1591" s="668"/>
      <c r="H1591" s="1408"/>
      <c r="I1591" s="65"/>
      <c r="J1591" s="66"/>
      <c r="K1591" s="1407"/>
      <c r="L1591" s="1409"/>
      <c r="M1591" s="668"/>
    </row>
    <row r="1592" spans="1:13" s="67" customFormat="1">
      <c r="A1592" s="1406"/>
      <c r="B1592" s="1407"/>
      <c r="C1592" s="668"/>
      <c r="D1592" s="666"/>
      <c r="E1592" s="667"/>
      <c r="F1592" s="667"/>
      <c r="G1592" s="668"/>
      <c r="H1592" s="1408"/>
      <c r="I1592" s="65"/>
      <c r="J1592" s="66"/>
      <c r="K1592" s="1407"/>
      <c r="L1592" s="1409"/>
      <c r="M1592" s="668"/>
    </row>
    <row r="1593" spans="1:13" s="67" customFormat="1">
      <c r="A1593" s="1406"/>
      <c r="B1593" s="1407"/>
      <c r="C1593" s="668"/>
      <c r="D1593" s="666"/>
      <c r="E1593" s="667"/>
      <c r="F1593" s="667"/>
      <c r="G1593" s="668"/>
      <c r="H1593" s="1408"/>
      <c r="I1593" s="65"/>
      <c r="J1593" s="66"/>
      <c r="K1593" s="1407"/>
      <c r="L1593" s="1409"/>
      <c r="M1593" s="668"/>
    </row>
    <row r="1594" spans="1:13" s="67" customFormat="1">
      <c r="A1594" s="1406"/>
      <c r="B1594" s="1407"/>
      <c r="C1594" s="668"/>
      <c r="D1594" s="666"/>
      <c r="E1594" s="667"/>
      <c r="F1594" s="667"/>
      <c r="G1594" s="668"/>
      <c r="H1594" s="1408"/>
      <c r="I1594" s="65"/>
      <c r="J1594" s="66"/>
      <c r="K1594" s="1407"/>
      <c r="L1594" s="1409"/>
      <c r="M1594" s="668"/>
    </row>
    <row r="1595" spans="1:13" s="67" customFormat="1">
      <c r="A1595" s="1406"/>
      <c r="B1595" s="1407"/>
      <c r="C1595" s="668"/>
      <c r="D1595" s="666"/>
      <c r="E1595" s="667"/>
      <c r="F1595" s="667"/>
      <c r="G1595" s="668"/>
      <c r="H1595" s="1408"/>
      <c r="I1595" s="65"/>
      <c r="J1595" s="66"/>
      <c r="K1595" s="1407"/>
      <c r="L1595" s="1409"/>
      <c r="M1595" s="668"/>
    </row>
    <row r="1596" spans="1:13" s="67" customFormat="1">
      <c r="A1596" s="1406"/>
      <c r="B1596" s="1407"/>
      <c r="C1596" s="668"/>
      <c r="D1596" s="666"/>
      <c r="E1596" s="667"/>
      <c r="F1596" s="667"/>
      <c r="G1596" s="668"/>
      <c r="H1596" s="1408"/>
      <c r="I1596" s="65"/>
      <c r="J1596" s="66"/>
      <c r="K1596" s="1407"/>
      <c r="L1596" s="1409"/>
      <c r="M1596" s="668"/>
    </row>
    <row r="1597" spans="1:13" s="67" customFormat="1">
      <c r="A1597" s="1406"/>
      <c r="B1597" s="1407"/>
      <c r="C1597" s="668"/>
      <c r="D1597" s="666"/>
      <c r="E1597" s="667"/>
      <c r="F1597" s="667"/>
      <c r="G1597" s="668"/>
      <c r="H1597" s="1408"/>
      <c r="I1597" s="65"/>
      <c r="J1597" s="66"/>
      <c r="K1597" s="1407"/>
      <c r="L1597" s="1409"/>
      <c r="M1597" s="668"/>
    </row>
    <row r="1598" spans="1:13" s="67" customFormat="1">
      <c r="A1598" s="1406"/>
      <c r="B1598" s="1407"/>
      <c r="C1598" s="668"/>
      <c r="D1598" s="666"/>
      <c r="E1598" s="667"/>
      <c r="F1598" s="667"/>
      <c r="G1598" s="668"/>
      <c r="H1598" s="1408"/>
      <c r="I1598" s="65"/>
      <c r="J1598" s="66"/>
      <c r="K1598" s="1407"/>
      <c r="L1598" s="1409"/>
      <c r="M1598" s="668"/>
    </row>
    <row r="1599" spans="1:13" s="67" customFormat="1">
      <c r="A1599" s="1406"/>
      <c r="B1599" s="1407"/>
      <c r="C1599" s="668"/>
      <c r="D1599" s="666"/>
      <c r="E1599" s="667"/>
      <c r="F1599" s="667"/>
      <c r="G1599" s="668"/>
      <c r="H1599" s="1408"/>
      <c r="I1599" s="65"/>
      <c r="J1599" s="66"/>
      <c r="K1599" s="1407"/>
      <c r="L1599" s="1409"/>
      <c r="M1599" s="668"/>
    </row>
    <row r="1600" spans="1:13" s="67" customFormat="1">
      <c r="A1600" s="1406"/>
      <c r="B1600" s="1407"/>
      <c r="C1600" s="668"/>
      <c r="D1600" s="666"/>
      <c r="E1600" s="667"/>
      <c r="F1600" s="667"/>
      <c r="G1600" s="668"/>
      <c r="H1600" s="1408"/>
      <c r="I1600" s="65"/>
      <c r="J1600" s="66"/>
      <c r="K1600" s="1407"/>
      <c r="L1600" s="1409"/>
      <c r="M1600" s="668"/>
    </row>
    <row r="1601" spans="1:13" s="67" customFormat="1">
      <c r="A1601" s="1406"/>
      <c r="B1601" s="1407"/>
      <c r="C1601" s="668"/>
      <c r="D1601" s="666"/>
      <c r="E1601" s="667"/>
      <c r="F1601" s="667"/>
      <c r="G1601" s="668"/>
      <c r="H1601" s="1408"/>
      <c r="I1601" s="65"/>
      <c r="J1601" s="66"/>
      <c r="K1601" s="1407"/>
      <c r="L1601" s="1409"/>
      <c r="M1601" s="668"/>
    </row>
    <row r="1602" spans="1:13" s="67" customFormat="1">
      <c r="A1602" s="1406"/>
      <c r="B1602" s="1407"/>
      <c r="C1602" s="668"/>
      <c r="D1602" s="666"/>
      <c r="E1602" s="667"/>
      <c r="F1602" s="667"/>
      <c r="G1602" s="668"/>
      <c r="H1602" s="1408"/>
      <c r="I1602" s="65"/>
      <c r="J1602" s="66"/>
      <c r="K1602" s="1407"/>
      <c r="L1602" s="1409"/>
      <c r="M1602" s="668"/>
    </row>
    <row r="1603" spans="1:13" s="67" customFormat="1">
      <c r="A1603" s="1406"/>
      <c r="B1603" s="1407"/>
      <c r="C1603" s="668"/>
      <c r="D1603" s="666"/>
      <c r="E1603" s="667"/>
      <c r="F1603" s="667"/>
      <c r="G1603" s="668"/>
      <c r="H1603" s="1408"/>
      <c r="I1603" s="65"/>
      <c r="J1603" s="66"/>
      <c r="K1603" s="1407"/>
      <c r="L1603" s="1409"/>
      <c r="M1603" s="668"/>
    </row>
    <row r="1604" spans="1:13" s="67" customFormat="1">
      <c r="A1604" s="1406"/>
      <c r="B1604" s="1407"/>
      <c r="C1604" s="668"/>
      <c r="D1604" s="666"/>
      <c r="E1604" s="667"/>
      <c r="F1604" s="667"/>
      <c r="G1604" s="668"/>
      <c r="H1604" s="1408"/>
      <c r="I1604" s="65"/>
      <c r="J1604" s="66"/>
      <c r="K1604" s="1407"/>
      <c r="L1604" s="1409"/>
      <c r="M1604" s="668"/>
    </row>
    <row r="1605" spans="1:13" s="67" customFormat="1">
      <c r="A1605" s="1406"/>
      <c r="B1605" s="1407"/>
      <c r="C1605" s="668"/>
      <c r="D1605" s="666"/>
      <c r="E1605" s="667"/>
      <c r="F1605" s="667"/>
      <c r="G1605" s="668"/>
      <c r="H1605" s="1408"/>
      <c r="I1605" s="65"/>
      <c r="J1605" s="66"/>
      <c r="K1605" s="1407"/>
      <c r="L1605" s="1409"/>
      <c r="M1605" s="668"/>
    </row>
    <row r="1606" spans="1:13" s="67" customFormat="1">
      <c r="A1606" s="1406"/>
      <c r="B1606" s="1407"/>
      <c r="C1606" s="668"/>
      <c r="D1606" s="666"/>
      <c r="E1606" s="667"/>
      <c r="F1606" s="667"/>
      <c r="G1606" s="668"/>
      <c r="H1606" s="1408"/>
      <c r="I1606" s="65"/>
      <c r="J1606" s="66"/>
      <c r="K1606" s="1407"/>
      <c r="L1606" s="1409"/>
      <c r="M1606" s="668"/>
    </row>
    <row r="1607" spans="1:13" s="67" customFormat="1">
      <c r="A1607" s="1406"/>
      <c r="B1607" s="1407"/>
      <c r="C1607" s="668"/>
      <c r="D1607" s="666"/>
      <c r="E1607" s="667"/>
      <c r="F1607" s="667"/>
      <c r="G1607" s="668"/>
      <c r="H1607" s="1408"/>
      <c r="I1607" s="65"/>
      <c r="J1607" s="66"/>
      <c r="K1607" s="1407"/>
      <c r="L1607" s="1409"/>
      <c r="M1607" s="668"/>
    </row>
    <row r="1608" spans="1:13" s="67" customFormat="1">
      <c r="A1608" s="1406"/>
      <c r="B1608" s="1407"/>
      <c r="C1608" s="668"/>
      <c r="D1608" s="666"/>
      <c r="E1608" s="667"/>
      <c r="F1608" s="667"/>
      <c r="G1608" s="668"/>
      <c r="H1608" s="1408"/>
      <c r="I1608" s="65"/>
      <c r="J1608" s="66"/>
      <c r="K1608" s="1407"/>
      <c r="L1608" s="1409"/>
      <c r="M1608" s="668"/>
    </row>
    <row r="1609" spans="1:13" s="67" customFormat="1">
      <c r="A1609" s="1406"/>
      <c r="B1609" s="1407"/>
      <c r="C1609" s="668"/>
      <c r="D1609" s="666"/>
      <c r="E1609" s="667"/>
      <c r="F1609" s="667"/>
      <c r="G1609" s="668"/>
      <c r="H1609" s="1408"/>
      <c r="I1609" s="65"/>
      <c r="J1609" s="66"/>
      <c r="K1609" s="1407"/>
      <c r="L1609" s="1409"/>
      <c r="M1609" s="668"/>
    </row>
    <row r="1610" spans="1:13" s="67" customFormat="1">
      <c r="A1610" s="1406"/>
      <c r="B1610" s="1407"/>
      <c r="C1610" s="668"/>
      <c r="D1610" s="666"/>
      <c r="E1610" s="667"/>
      <c r="F1610" s="667"/>
      <c r="G1610" s="668"/>
      <c r="H1610" s="1408"/>
      <c r="I1610" s="65"/>
      <c r="J1610" s="66"/>
      <c r="K1610" s="1407"/>
      <c r="L1610" s="1409"/>
      <c r="M1610" s="668"/>
    </row>
    <row r="1611" spans="1:13" s="67" customFormat="1">
      <c r="A1611" s="1406"/>
      <c r="B1611" s="1407"/>
      <c r="C1611" s="668"/>
      <c r="D1611" s="666"/>
      <c r="E1611" s="667"/>
      <c r="F1611" s="667"/>
      <c r="G1611" s="668"/>
      <c r="H1611" s="1408"/>
      <c r="I1611" s="65"/>
      <c r="J1611" s="66"/>
      <c r="K1611" s="1407"/>
      <c r="L1611" s="1409"/>
      <c r="M1611" s="668"/>
    </row>
    <row r="1612" spans="1:13" s="67" customFormat="1">
      <c r="A1612" s="1406"/>
      <c r="B1612" s="1407"/>
      <c r="C1612" s="668"/>
      <c r="D1612" s="666"/>
      <c r="E1612" s="667"/>
      <c r="F1612" s="667"/>
      <c r="G1612" s="668"/>
      <c r="H1612" s="1408"/>
      <c r="I1612" s="65"/>
      <c r="J1612" s="66"/>
      <c r="K1612" s="1407"/>
      <c r="L1612" s="1409"/>
      <c r="M1612" s="668"/>
    </row>
    <row r="1613" spans="1:13" s="67" customFormat="1">
      <c r="A1613" s="1406"/>
      <c r="B1613" s="1407"/>
      <c r="C1613" s="668"/>
      <c r="D1613" s="666"/>
      <c r="E1613" s="667"/>
      <c r="F1613" s="667"/>
      <c r="G1613" s="668"/>
      <c r="H1613" s="1408"/>
      <c r="I1613" s="65"/>
      <c r="J1613" s="66"/>
      <c r="K1613" s="1407"/>
      <c r="L1613" s="1409"/>
      <c r="M1613" s="668"/>
    </row>
    <row r="1614" spans="1:13" s="67" customFormat="1">
      <c r="A1614" s="1406"/>
      <c r="B1614" s="1407"/>
      <c r="C1614" s="668"/>
      <c r="D1614" s="666"/>
      <c r="E1614" s="667"/>
      <c r="F1614" s="667"/>
      <c r="G1614" s="668"/>
      <c r="H1614" s="1408"/>
      <c r="I1614" s="65"/>
      <c r="J1614" s="66"/>
      <c r="K1614" s="1407"/>
      <c r="L1614" s="1409"/>
      <c r="M1614" s="668"/>
    </row>
    <row r="1615" spans="1:13" s="67" customFormat="1">
      <c r="A1615" s="1406"/>
      <c r="B1615" s="1407"/>
      <c r="C1615" s="668"/>
      <c r="D1615" s="666"/>
      <c r="E1615" s="667"/>
      <c r="F1615" s="667"/>
      <c r="G1615" s="668"/>
      <c r="H1615" s="1408"/>
      <c r="I1615" s="65"/>
      <c r="J1615" s="66"/>
      <c r="K1615" s="1407"/>
      <c r="L1615" s="1409"/>
      <c r="M1615" s="668"/>
    </row>
    <row r="1616" spans="1:13" s="67" customFormat="1">
      <c r="A1616" s="1406"/>
      <c r="B1616" s="1407"/>
      <c r="C1616" s="668"/>
      <c r="D1616" s="666"/>
      <c r="E1616" s="667"/>
      <c r="F1616" s="667"/>
      <c r="G1616" s="668"/>
      <c r="H1616" s="1408"/>
      <c r="I1616" s="65"/>
      <c r="J1616" s="66"/>
      <c r="K1616" s="1407"/>
      <c r="L1616" s="1409"/>
      <c r="M1616" s="668"/>
    </row>
    <row r="1617" spans="1:13" s="67" customFormat="1">
      <c r="A1617" s="1406"/>
      <c r="B1617" s="1407"/>
      <c r="C1617" s="668"/>
      <c r="D1617" s="666"/>
      <c r="E1617" s="667"/>
      <c r="F1617" s="667"/>
      <c r="G1617" s="668"/>
      <c r="H1617" s="1408"/>
      <c r="I1617" s="65"/>
      <c r="J1617" s="66"/>
      <c r="K1617" s="1407"/>
      <c r="L1617" s="1409"/>
      <c r="M1617" s="668"/>
    </row>
    <row r="1618" spans="1:13" s="67" customFormat="1">
      <c r="A1618" s="1406"/>
      <c r="B1618" s="1407"/>
      <c r="C1618" s="668"/>
      <c r="D1618" s="666"/>
      <c r="E1618" s="667"/>
      <c r="F1618" s="667"/>
      <c r="G1618" s="668"/>
      <c r="H1618" s="1408"/>
      <c r="I1618" s="65"/>
      <c r="J1618" s="66"/>
      <c r="K1618" s="1407"/>
      <c r="L1618" s="1409"/>
      <c r="M1618" s="668"/>
    </row>
    <row r="1619" spans="1:13" s="67" customFormat="1">
      <c r="A1619" s="1406"/>
      <c r="B1619" s="1407"/>
      <c r="C1619" s="668"/>
      <c r="D1619" s="666"/>
      <c r="E1619" s="667"/>
      <c r="F1619" s="667"/>
      <c r="G1619" s="668"/>
      <c r="H1619" s="1408"/>
      <c r="I1619" s="65"/>
      <c r="J1619" s="66"/>
      <c r="K1619" s="1407"/>
      <c r="L1619" s="1409"/>
      <c r="M1619" s="668"/>
    </row>
    <row r="1620" spans="1:13" s="67" customFormat="1">
      <c r="A1620" s="1406"/>
      <c r="B1620" s="1407"/>
      <c r="C1620" s="668"/>
      <c r="D1620" s="666"/>
      <c r="E1620" s="667"/>
      <c r="F1620" s="667"/>
      <c r="G1620" s="668"/>
      <c r="H1620" s="1408"/>
      <c r="I1620" s="65"/>
      <c r="J1620" s="66"/>
      <c r="K1620" s="1407"/>
      <c r="L1620" s="1409"/>
      <c r="M1620" s="668"/>
    </row>
    <row r="1621" spans="1:13" s="67" customFormat="1">
      <c r="A1621" s="1406"/>
      <c r="B1621" s="1407"/>
      <c r="C1621" s="668"/>
      <c r="D1621" s="666"/>
      <c r="E1621" s="667"/>
      <c r="F1621" s="667"/>
      <c r="G1621" s="668"/>
      <c r="H1621" s="1408"/>
      <c r="I1621" s="65"/>
      <c r="J1621" s="66"/>
      <c r="K1621" s="1407"/>
      <c r="L1621" s="1409"/>
      <c r="M1621" s="668"/>
    </row>
    <row r="1622" spans="1:13" s="67" customFormat="1">
      <c r="A1622" s="1406"/>
      <c r="B1622" s="1407"/>
      <c r="C1622" s="668"/>
      <c r="D1622" s="666"/>
      <c r="E1622" s="667"/>
      <c r="F1622" s="667"/>
      <c r="G1622" s="668"/>
      <c r="H1622" s="1408"/>
      <c r="I1622" s="65"/>
      <c r="J1622" s="66"/>
      <c r="K1622" s="1407"/>
      <c r="L1622" s="1409"/>
      <c r="M1622" s="668"/>
    </row>
    <row r="1623" spans="1:13" s="67" customFormat="1">
      <c r="A1623" s="1406"/>
      <c r="B1623" s="1407"/>
      <c r="C1623" s="668"/>
      <c r="D1623" s="666"/>
      <c r="E1623" s="667"/>
      <c r="F1623" s="667"/>
      <c r="G1623" s="668"/>
      <c r="H1623" s="1408"/>
      <c r="I1623" s="65"/>
      <c r="J1623" s="66"/>
      <c r="K1623" s="1407"/>
      <c r="L1623" s="1409"/>
      <c r="M1623" s="668"/>
    </row>
    <row r="1624" spans="1:13" s="67" customFormat="1">
      <c r="A1624" s="1406"/>
      <c r="B1624" s="1407"/>
      <c r="C1624" s="668"/>
      <c r="D1624" s="666"/>
      <c r="E1624" s="667"/>
      <c r="F1624" s="667"/>
      <c r="G1624" s="668"/>
      <c r="H1624" s="1408"/>
      <c r="I1624" s="65"/>
      <c r="J1624" s="66"/>
      <c r="K1624" s="1407"/>
      <c r="L1624" s="1409"/>
      <c r="M1624" s="668"/>
    </row>
    <row r="1625" spans="1:13" s="67" customFormat="1">
      <c r="A1625" s="1406"/>
      <c r="B1625" s="1407"/>
      <c r="C1625" s="668"/>
      <c r="D1625" s="666"/>
      <c r="E1625" s="667"/>
      <c r="F1625" s="667"/>
      <c r="G1625" s="668"/>
      <c r="H1625" s="1408"/>
      <c r="I1625" s="65"/>
      <c r="J1625" s="66"/>
      <c r="K1625" s="1407"/>
      <c r="L1625" s="1409"/>
      <c r="M1625" s="668"/>
    </row>
    <row r="1626" spans="1:13" s="67" customFormat="1">
      <c r="A1626" s="1406"/>
      <c r="B1626" s="1407"/>
      <c r="C1626" s="668"/>
      <c r="D1626" s="666"/>
      <c r="E1626" s="667"/>
      <c r="F1626" s="667"/>
      <c r="G1626" s="668"/>
      <c r="H1626" s="1408"/>
      <c r="I1626" s="65"/>
      <c r="J1626" s="66"/>
      <c r="K1626" s="1407"/>
      <c r="L1626" s="1409"/>
      <c r="M1626" s="668"/>
    </row>
    <row r="1627" spans="1:13" s="67" customFormat="1">
      <c r="A1627" s="1406"/>
      <c r="B1627" s="1407"/>
      <c r="C1627" s="668"/>
      <c r="D1627" s="666"/>
      <c r="E1627" s="667"/>
      <c r="F1627" s="667"/>
      <c r="G1627" s="668"/>
      <c r="H1627" s="1408"/>
      <c r="I1627" s="65"/>
      <c r="J1627" s="66"/>
      <c r="K1627" s="1407"/>
      <c r="L1627" s="1409"/>
      <c r="M1627" s="668"/>
    </row>
    <row r="1628" spans="1:13" s="67" customFormat="1">
      <c r="A1628" s="1406"/>
      <c r="B1628" s="1407"/>
      <c r="C1628" s="668"/>
      <c r="D1628" s="666"/>
      <c r="E1628" s="667"/>
      <c r="F1628" s="667"/>
      <c r="G1628" s="668"/>
      <c r="H1628" s="1408"/>
      <c r="I1628" s="65"/>
      <c r="J1628" s="66"/>
      <c r="K1628" s="1407"/>
      <c r="L1628" s="1409"/>
      <c r="M1628" s="668"/>
    </row>
    <row r="1629" spans="1:13" s="67" customFormat="1">
      <c r="A1629" s="1406"/>
      <c r="B1629" s="1407"/>
      <c r="C1629" s="668"/>
      <c r="D1629" s="666"/>
      <c r="E1629" s="667"/>
      <c r="F1629" s="667"/>
      <c r="G1629" s="668"/>
      <c r="H1629" s="1408"/>
      <c r="I1629" s="65"/>
      <c r="J1629" s="66"/>
      <c r="K1629" s="1407"/>
      <c r="L1629" s="1409"/>
      <c r="M1629" s="668"/>
    </row>
    <row r="1630" spans="1:13" s="67" customFormat="1">
      <c r="A1630" s="1406"/>
      <c r="B1630" s="1407"/>
      <c r="C1630" s="668"/>
      <c r="D1630" s="666"/>
      <c r="E1630" s="667"/>
      <c r="F1630" s="667"/>
      <c r="G1630" s="668"/>
      <c r="H1630" s="1408"/>
      <c r="I1630" s="65"/>
      <c r="J1630" s="66"/>
      <c r="K1630" s="1407"/>
      <c r="L1630" s="1409"/>
      <c r="M1630" s="668"/>
    </row>
    <row r="1631" spans="1:13" s="67" customFormat="1">
      <c r="A1631" s="1406"/>
      <c r="B1631" s="1407"/>
      <c r="C1631" s="668"/>
      <c r="D1631" s="666"/>
      <c r="E1631" s="667"/>
      <c r="F1631" s="667"/>
      <c r="G1631" s="668"/>
      <c r="H1631" s="1408"/>
      <c r="I1631" s="65"/>
      <c r="J1631" s="66"/>
      <c r="K1631" s="1407"/>
      <c r="L1631" s="1409"/>
      <c r="M1631" s="668"/>
    </row>
    <row r="1632" spans="1:13" s="67" customFormat="1">
      <c r="A1632" s="1406"/>
      <c r="B1632" s="1407"/>
      <c r="C1632" s="668"/>
      <c r="D1632" s="666"/>
      <c r="E1632" s="667"/>
      <c r="F1632" s="667"/>
      <c r="G1632" s="668"/>
      <c r="H1632" s="1408"/>
      <c r="I1632" s="65"/>
      <c r="J1632" s="66"/>
      <c r="K1632" s="1407"/>
      <c r="L1632" s="1409"/>
      <c r="M1632" s="668"/>
    </row>
    <row r="1633" spans="1:13" s="67" customFormat="1">
      <c r="A1633" s="1406"/>
      <c r="B1633" s="1407"/>
      <c r="C1633" s="668"/>
      <c r="D1633" s="666"/>
      <c r="E1633" s="667"/>
      <c r="F1633" s="667"/>
      <c r="G1633" s="668"/>
      <c r="H1633" s="1408"/>
      <c r="I1633" s="65"/>
      <c r="J1633" s="66"/>
      <c r="K1633" s="1407"/>
      <c r="L1633" s="1409"/>
      <c r="M1633" s="668"/>
    </row>
    <row r="1634" spans="1:13" s="67" customFormat="1">
      <c r="A1634" s="1406"/>
      <c r="B1634" s="1407"/>
      <c r="C1634" s="668"/>
      <c r="D1634" s="666"/>
      <c r="E1634" s="667"/>
      <c r="F1634" s="667"/>
      <c r="G1634" s="668"/>
      <c r="H1634" s="1408"/>
      <c r="I1634" s="65"/>
      <c r="J1634" s="66"/>
      <c r="K1634" s="1407"/>
      <c r="L1634" s="1409"/>
      <c r="M1634" s="668"/>
    </row>
    <row r="1635" spans="1:13" s="67" customFormat="1">
      <c r="A1635" s="1406"/>
      <c r="B1635" s="1407"/>
      <c r="C1635" s="668"/>
      <c r="D1635" s="666"/>
      <c r="E1635" s="667"/>
      <c r="F1635" s="667"/>
      <c r="G1635" s="668"/>
      <c r="H1635" s="1408"/>
      <c r="I1635" s="65"/>
      <c r="J1635" s="66"/>
      <c r="K1635" s="1407"/>
      <c r="L1635" s="1409"/>
      <c r="M1635" s="668"/>
    </row>
    <row r="1636" spans="1:13" s="67" customFormat="1">
      <c r="A1636" s="1406"/>
      <c r="B1636" s="1407"/>
      <c r="C1636" s="668"/>
      <c r="D1636" s="666"/>
      <c r="E1636" s="667"/>
      <c r="F1636" s="667"/>
      <c r="G1636" s="668"/>
      <c r="H1636" s="1408"/>
      <c r="I1636" s="65"/>
      <c r="J1636" s="66"/>
      <c r="K1636" s="1407"/>
      <c r="L1636" s="1409"/>
      <c r="M1636" s="668"/>
    </row>
    <row r="1637" spans="1:13" s="67" customFormat="1">
      <c r="A1637" s="1406"/>
      <c r="B1637" s="1407"/>
      <c r="C1637" s="668"/>
      <c r="D1637" s="666"/>
      <c r="E1637" s="667"/>
      <c r="F1637" s="667"/>
      <c r="G1637" s="668"/>
      <c r="H1637" s="1408"/>
      <c r="I1637" s="65"/>
      <c r="J1637" s="66"/>
      <c r="K1637" s="1407"/>
      <c r="L1637" s="1409"/>
      <c r="M1637" s="668"/>
    </row>
    <row r="1638" spans="1:13" s="67" customFormat="1">
      <c r="A1638" s="1406"/>
      <c r="B1638" s="1407"/>
      <c r="C1638" s="668"/>
      <c r="D1638" s="666"/>
      <c r="E1638" s="667"/>
      <c r="F1638" s="667"/>
      <c r="G1638" s="668"/>
      <c r="H1638" s="1408"/>
      <c r="I1638" s="65"/>
      <c r="J1638" s="66"/>
      <c r="K1638" s="1407"/>
      <c r="L1638" s="1409"/>
      <c r="M1638" s="668"/>
    </row>
    <row r="1639" spans="1:13" s="67" customFormat="1">
      <c r="A1639" s="1406"/>
      <c r="B1639" s="1407"/>
      <c r="C1639" s="668"/>
      <c r="D1639" s="666"/>
      <c r="E1639" s="667"/>
      <c r="F1639" s="667"/>
      <c r="G1639" s="668"/>
      <c r="H1639" s="1408"/>
      <c r="I1639" s="65"/>
      <c r="J1639" s="66"/>
      <c r="K1639" s="1407"/>
      <c r="L1639" s="1409"/>
      <c r="M1639" s="668"/>
    </row>
    <row r="1640" spans="1:13" s="67" customFormat="1">
      <c r="A1640" s="1406"/>
      <c r="B1640" s="1407"/>
      <c r="C1640" s="668"/>
      <c r="D1640" s="666"/>
      <c r="E1640" s="667"/>
      <c r="F1640" s="667"/>
      <c r="G1640" s="668"/>
      <c r="H1640" s="1408"/>
      <c r="I1640" s="65"/>
      <c r="J1640" s="66"/>
      <c r="K1640" s="1407"/>
      <c r="L1640" s="1409"/>
      <c r="M1640" s="668"/>
    </row>
    <row r="1641" spans="1:13" s="67" customFormat="1">
      <c r="A1641" s="1406"/>
      <c r="B1641" s="1407"/>
      <c r="C1641" s="668"/>
      <c r="D1641" s="666"/>
      <c r="E1641" s="667"/>
      <c r="F1641" s="667"/>
      <c r="G1641" s="668"/>
      <c r="H1641" s="1408"/>
      <c r="I1641" s="65"/>
      <c r="J1641" s="66"/>
      <c r="K1641" s="1407"/>
      <c r="L1641" s="1409"/>
      <c r="M1641" s="668"/>
    </row>
    <row r="1642" spans="1:13" s="67" customFormat="1">
      <c r="A1642" s="1406"/>
      <c r="B1642" s="1407"/>
      <c r="C1642" s="668"/>
      <c r="D1642" s="666"/>
      <c r="E1642" s="667"/>
      <c r="F1642" s="667"/>
      <c r="G1642" s="668"/>
      <c r="H1642" s="1408"/>
      <c r="I1642" s="65"/>
      <c r="J1642" s="66"/>
      <c r="K1642" s="1407"/>
      <c r="L1642" s="1409"/>
      <c r="M1642" s="668"/>
    </row>
    <row r="1643" spans="1:13" s="67" customFormat="1">
      <c r="A1643" s="1406"/>
      <c r="B1643" s="1407"/>
      <c r="C1643" s="668"/>
      <c r="D1643" s="666"/>
      <c r="E1643" s="667"/>
      <c r="F1643" s="667"/>
      <c r="G1643" s="668"/>
      <c r="H1643" s="1408"/>
      <c r="I1643" s="65"/>
      <c r="J1643" s="66"/>
      <c r="K1643" s="1407"/>
      <c r="L1643" s="1409"/>
      <c r="M1643" s="668"/>
    </row>
    <row r="1644" spans="1:13" s="67" customFormat="1">
      <c r="A1644" s="1406"/>
      <c r="B1644" s="1407"/>
      <c r="C1644" s="668"/>
      <c r="D1644" s="666"/>
      <c r="E1644" s="667"/>
      <c r="F1644" s="667"/>
      <c r="G1644" s="668"/>
      <c r="H1644" s="1408"/>
      <c r="I1644" s="65"/>
      <c r="J1644" s="66"/>
      <c r="K1644" s="1407"/>
      <c r="L1644" s="1409"/>
      <c r="M1644" s="668"/>
    </row>
    <row r="1645" spans="1:13" s="67" customFormat="1">
      <c r="A1645" s="1406"/>
      <c r="B1645" s="1407"/>
      <c r="C1645" s="668"/>
      <c r="D1645" s="666"/>
      <c r="E1645" s="667"/>
      <c r="F1645" s="667"/>
      <c r="G1645" s="668"/>
      <c r="H1645" s="1408"/>
      <c r="I1645" s="65"/>
      <c r="J1645" s="66"/>
      <c r="K1645" s="1407"/>
      <c r="L1645" s="1409"/>
      <c r="M1645" s="668"/>
    </row>
    <row r="1646" spans="1:13" s="67" customFormat="1">
      <c r="A1646" s="1406"/>
      <c r="B1646" s="1407"/>
      <c r="C1646" s="668"/>
      <c r="D1646" s="666"/>
      <c r="E1646" s="667"/>
      <c r="F1646" s="667"/>
      <c r="G1646" s="668"/>
      <c r="H1646" s="1408"/>
      <c r="I1646" s="65"/>
      <c r="J1646" s="66"/>
      <c r="K1646" s="1407"/>
      <c r="L1646" s="1409"/>
      <c r="M1646" s="668"/>
    </row>
    <row r="1647" spans="1:13" s="67" customFormat="1">
      <c r="A1647" s="1406"/>
      <c r="B1647" s="1407"/>
      <c r="C1647" s="668"/>
      <c r="D1647" s="666"/>
      <c r="E1647" s="667"/>
      <c r="F1647" s="667"/>
      <c r="G1647" s="668"/>
      <c r="H1647" s="1408"/>
      <c r="I1647" s="65"/>
      <c r="J1647" s="66"/>
      <c r="K1647" s="1407"/>
      <c r="L1647" s="1409"/>
      <c r="M1647" s="668"/>
    </row>
    <row r="1648" spans="1:13" s="67" customFormat="1">
      <c r="A1648" s="1406"/>
      <c r="B1648" s="1407"/>
      <c r="C1648" s="668"/>
      <c r="D1648" s="666"/>
      <c r="E1648" s="667"/>
      <c r="F1648" s="667"/>
      <c r="G1648" s="668"/>
      <c r="H1648" s="1408"/>
      <c r="I1648" s="65"/>
      <c r="J1648" s="66"/>
      <c r="K1648" s="1407"/>
      <c r="L1648" s="1409"/>
      <c r="M1648" s="668"/>
    </row>
    <row r="1649" spans="1:13" s="67" customFormat="1">
      <c r="A1649" s="1406"/>
      <c r="B1649" s="1407"/>
      <c r="C1649" s="668"/>
      <c r="D1649" s="666"/>
      <c r="E1649" s="667"/>
      <c r="F1649" s="667"/>
      <c r="G1649" s="668"/>
      <c r="H1649" s="1408"/>
      <c r="I1649" s="65"/>
      <c r="J1649" s="66"/>
      <c r="K1649" s="1407"/>
      <c r="L1649" s="1409"/>
      <c r="M1649" s="668"/>
    </row>
    <row r="1650" spans="1:13" s="67" customFormat="1">
      <c r="A1650" s="1406"/>
      <c r="B1650" s="1407"/>
      <c r="C1650" s="668"/>
      <c r="D1650" s="666"/>
      <c r="E1650" s="667"/>
      <c r="F1650" s="667"/>
      <c r="G1650" s="668"/>
      <c r="H1650" s="1408"/>
      <c r="I1650" s="65"/>
      <c r="J1650" s="66"/>
      <c r="K1650" s="1407"/>
      <c r="L1650" s="1409"/>
      <c r="M1650" s="668"/>
    </row>
    <row r="1651" spans="1:13" s="67" customFormat="1">
      <c r="A1651" s="1406"/>
      <c r="B1651" s="1407"/>
      <c r="C1651" s="668"/>
      <c r="D1651" s="666"/>
      <c r="E1651" s="667"/>
      <c r="F1651" s="667"/>
      <c r="G1651" s="668"/>
      <c r="H1651" s="1408"/>
      <c r="I1651" s="65"/>
      <c r="J1651" s="66"/>
      <c r="K1651" s="1407"/>
      <c r="L1651" s="1409"/>
      <c r="M1651" s="668"/>
    </row>
    <row r="1652" spans="1:13" s="67" customFormat="1">
      <c r="A1652" s="1406"/>
      <c r="B1652" s="1407"/>
      <c r="C1652" s="668"/>
      <c r="D1652" s="666"/>
      <c r="E1652" s="667"/>
      <c r="F1652" s="667"/>
      <c r="G1652" s="668"/>
      <c r="H1652" s="1408"/>
      <c r="I1652" s="65"/>
      <c r="J1652" s="66"/>
      <c r="K1652" s="1407"/>
      <c r="L1652" s="1409"/>
      <c r="M1652" s="668"/>
    </row>
    <row r="1653" spans="1:13" s="67" customFormat="1">
      <c r="A1653" s="1406"/>
      <c r="B1653" s="1407"/>
      <c r="C1653" s="668"/>
      <c r="D1653" s="666"/>
      <c r="E1653" s="667"/>
      <c r="F1653" s="667"/>
      <c r="G1653" s="668"/>
      <c r="H1653" s="1408"/>
      <c r="I1653" s="65"/>
      <c r="J1653" s="66"/>
      <c r="K1653" s="1407"/>
      <c r="L1653" s="1409"/>
      <c r="M1653" s="668"/>
    </row>
    <row r="1654" spans="1:13" s="67" customFormat="1">
      <c r="A1654" s="1406"/>
      <c r="B1654" s="1407"/>
      <c r="C1654" s="668"/>
      <c r="D1654" s="666"/>
      <c r="E1654" s="667"/>
      <c r="F1654" s="667"/>
      <c r="G1654" s="668"/>
      <c r="H1654" s="1408"/>
      <c r="I1654" s="65"/>
      <c r="J1654" s="66"/>
      <c r="K1654" s="1407"/>
      <c r="L1654" s="1409"/>
      <c r="M1654" s="668"/>
    </row>
    <row r="1655" spans="1:13" s="67" customFormat="1">
      <c r="A1655" s="1406"/>
      <c r="B1655" s="1407"/>
      <c r="C1655" s="668"/>
      <c r="D1655" s="666"/>
      <c r="E1655" s="667"/>
      <c r="F1655" s="667"/>
      <c r="G1655" s="668"/>
      <c r="H1655" s="1408"/>
      <c r="I1655" s="65"/>
      <c r="J1655" s="66"/>
      <c r="K1655" s="1407"/>
      <c r="L1655" s="1409"/>
      <c r="M1655" s="668"/>
    </row>
    <row r="1656" spans="1:13" s="67" customFormat="1">
      <c r="A1656" s="1406"/>
      <c r="B1656" s="1407"/>
      <c r="C1656" s="668"/>
      <c r="D1656" s="666"/>
      <c r="E1656" s="667"/>
      <c r="F1656" s="667"/>
      <c r="G1656" s="668"/>
      <c r="H1656" s="1408"/>
      <c r="I1656" s="65"/>
      <c r="J1656" s="66"/>
      <c r="K1656" s="1407"/>
      <c r="L1656" s="1409"/>
      <c r="M1656" s="668"/>
    </row>
    <row r="1657" spans="1:13" s="67" customFormat="1">
      <c r="A1657" s="1406"/>
      <c r="B1657" s="1407"/>
      <c r="C1657" s="668"/>
      <c r="D1657" s="666"/>
      <c r="E1657" s="667"/>
      <c r="F1657" s="667"/>
      <c r="G1657" s="668"/>
      <c r="H1657" s="1408"/>
      <c r="I1657" s="65"/>
      <c r="J1657" s="66"/>
      <c r="K1657" s="1407"/>
      <c r="L1657" s="1409"/>
      <c r="M1657" s="668"/>
    </row>
    <row r="1658" spans="1:13" s="67" customFormat="1">
      <c r="A1658" s="1406"/>
      <c r="B1658" s="1407"/>
      <c r="C1658" s="668"/>
      <c r="D1658" s="666"/>
      <c r="E1658" s="667"/>
      <c r="F1658" s="667"/>
      <c r="G1658" s="668"/>
      <c r="H1658" s="1408"/>
      <c r="I1658" s="65"/>
      <c r="J1658" s="66"/>
      <c r="K1658" s="1407"/>
      <c r="L1658" s="1409"/>
      <c r="M1658" s="668"/>
    </row>
    <row r="1659" spans="1:13" s="67" customFormat="1">
      <c r="A1659" s="1406"/>
      <c r="B1659" s="1407"/>
      <c r="C1659" s="668"/>
      <c r="D1659" s="666"/>
      <c r="E1659" s="667"/>
      <c r="F1659" s="667"/>
      <c r="G1659" s="668"/>
      <c r="H1659" s="1408"/>
      <c r="I1659" s="65"/>
      <c r="J1659" s="66"/>
      <c r="K1659" s="1407"/>
      <c r="L1659" s="1409"/>
      <c r="M1659" s="668"/>
    </row>
    <row r="1660" spans="1:13" s="67" customFormat="1">
      <c r="A1660" s="1406"/>
      <c r="B1660" s="1407"/>
      <c r="C1660" s="668"/>
      <c r="D1660" s="666"/>
      <c r="E1660" s="667"/>
      <c r="F1660" s="667"/>
      <c r="G1660" s="668"/>
      <c r="H1660" s="1408"/>
      <c r="I1660" s="65"/>
      <c r="J1660" s="66"/>
      <c r="K1660" s="1407"/>
      <c r="L1660" s="1409"/>
      <c r="M1660" s="668"/>
    </row>
    <row r="1661" spans="1:13" s="67" customFormat="1">
      <c r="A1661" s="1406"/>
      <c r="B1661" s="1407"/>
      <c r="C1661" s="668"/>
      <c r="D1661" s="666"/>
      <c r="E1661" s="667"/>
      <c r="F1661" s="667"/>
      <c r="G1661" s="668"/>
      <c r="H1661" s="1408"/>
      <c r="I1661" s="65"/>
      <c r="J1661" s="66"/>
      <c r="K1661" s="1407"/>
      <c r="L1661" s="1409"/>
      <c r="M1661" s="668"/>
    </row>
    <row r="1662" spans="1:13" s="67" customFormat="1">
      <c r="A1662" s="1406"/>
      <c r="B1662" s="1407"/>
      <c r="C1662" s="668"/>
      <c r="D1662" s="666"/>
      <c r="E1662" s="667"/>
      <c r="F1662" s="667"/>
      <c r="G1662" s="668"/>
      <c r="H1662" s="1408"/>
      <c r="I1662" s="65"/>
      <c r="J1662" s="66"/>
      <c r="K1662" s="1407"/>
      <c r="L1662" s="1409"/>
      <c r="M1662" s="668"/>
    </row>
    <row r="1663" spans="1:13" s="67" customFormat="1">
      <c r="A1663" s="1406"/>
      <c r="B1663" s="1407"/>
      <c r="C1663" s="668"/>
      <c r="D1663" s="666"/>
      <c r="E1663" s="667"/>
      <c r="F1663" s="667"/>
      <c r="G1663" s="668"/>
      <c r="H1663" s="1408"/>
      <c r="I1663" s="65"/>
      <c r="J1663" s="66"/>
      <c r="K1663" s="1407"/>
      <c r="L1663" s="1409"/>
      <c r="M1663" s="668"/>
    </row>
    <row r="1664" spans="1:13" s="67" customFormat="1">
      <c r="A1664" s="1406"/>
      <c r="B1664" s="1407"/>
      <c r="C1664" s="668"/>
      <c r="D1664" s="666"/>
      <c r="E1664" s="667"/>
      <c r="F1664" s="667"/>
      <c r="G1664" s="668"/>
      <c r="H1664" s="1408"/>
      <c r="I1664" s="65"/>
      <c r="J1664" s="66"/>
      <c r="K1664" s="1407"/>
      <c r="L1664" s="1409"/>
      <c r="M1664" s="668"/>
    </row>
    <row r="1665" spans="1:13" s="67" customFormat="1">
      <c r="A1665" s="1406"/>
      <c r="B1665" s="1407"/>
      <c r="C1665" s="668"/>
      <c r="D1665" s="666"/>
      <c r="E1665" s="667"/>
      <c r="F1665" s="667"/>
      <c r="G1665" s="668"/>
      <c r="H1665" s="1408"/>
      <c r="I1665" s="65"/>
      <c r="J1665" s="66"/>
      <c r="K1665" s="1407"/>
      <c r="L1665" s="1409"/>
      <c r="M1665" s="668"/>
    </row>
    <row r="1666" spans="1:13" s="67" customFormat="1">
      <c r="A1666" s="1406"/>
      <c r="B1666" s="1407"/>
      <c r="C1666" s="668"/>
      <c r="D1666" s="666"/>
      <c r="E1666" s="667"/>
      <c r="F1666" s="667"/>
      <c r="G1666" s="668"/>
      <c r="H1666" s="1408"/>
      <c r="I1666" s="65"/>
      <c r="J1666" s="66"/>
      <c r="K1666" s="1407"/>
      <c r="L1666" s="1409"/>
      <c r="M1666" s="668"/>
    </row>
    <row r="1667" spans="1:13" s="67" customFormat="1">
      <c r="A1667" s="1406"/>
      <c r="B1667" s="1407"/>
      <c r="C1667" s="668"/>
      <c r="D1667" s="666"/>
      <c r="E1667" s="667"/>
      <c r="F1667" s="667"/>
      <c r="G1667" s="668"/>
      <c r="H1667" s="1408"/>
      <c r="I1667" s="65"/>
      <c r="J1667" s="66"/>
      <c r="K1667" s="1407"/>
      <c r="L1667" s="1409"/>
      <c r="M1667" s="668"/>
    </row>
    <row r="1668" spans="1:13" s="67" customFormat="1">
      <c r="A1668" s="1406"/>
      <c r="B1668" s="1407"/>
      <c r="C1668" s="668"/>
      <c r="D1668" s="666"/>
      <c r="E1668" s="667"/>
      <c r="F1668" s="667"/>
      <c r="G1668" s="668"/>
      <c r="H1668" s="1408"/>
      <c r="I1668" s="65"/>
      <c r="J1668" s="66"/>
      <c r="K1668" s="1407"/>
      <c r="L1668" s="1409"/>
      <c r="M1668" s="668"/>
    </row>
    <row r="1669" spans="1:13" s="67" customFormat="1">
      <c r="A1669" s="1406"/>
      <c r="B1669" s="1407"/>
      <c r="C1669" s="668"/>
      <c r="D1669" s="666"/>
      <c r="E1669" s="667"/>
      <c r="F1669" s="667"/>
      <c r="G1669" s="668"/>
      <c r="H1669" s="1408"/>
      <c r="I1669" s="65"/>
      <c r="J1669" s="66"/>
      <c r="K1669" s="1407"/>
      <c r="L1669" s="1409"/>
      <c r="M1669" s="668"/>
    </row>
    <row r="1670" spans="1:13" s="67" customFormat="1">
      <c r="A1670" s="1406"/>
      <c r="B1670" s="1407"/>
      <c r="C1670" s="668"/>
      <c r="D1670" s="666"/>
      <c r="E1670" s="667"/>
      <c r="F1670" s="667"/>
      <c r="G1670" s="668"/>
      <c r="H1670" s="1408"/>
      <c r="I1670" s="65"/>
      <c r="J1670" s="66"/>
      <c r="K1670" s="1407"/>
      <c r="L1670" s="1409"/>
      <c r="M1670" s="668"/>
    </row>
    <row r="1671" spans="1:13" s="67" customFormat="1">
      <c r="A1671" s="1406"/>
      <c r="B1671" s="1407"/>
      <c r="C1671" s="668"/>
      <c r="D1671" s="666"/>
      <c r="E1671" s="667"/>
      <c r="F1671" s="667"/>
      <c r="G1671" s="668"/>
      <c r="H1671" s="1408"/>
      <c r="I1671" s="65"/>
      <c r="J1671" s="66"/>
      <c r="K1671" s="1407"/>
      <c r="L1671" s="1409"/>
      <c r="M1671" s="668"/>
    </row>
    <row r="1672" spans="1:13" s="67" customFormat="1">
      <c r="A1672" s="1406"/>
      <c r="B1672" s="1407"/>
      <c r="C1672" s="668"/>
      <c r="D1672" s="666"/>
      <c r="E1672" s="667"/>
      <c r="F1672" s="667"/>
      <c r="G1672" s="668"/>
      <c r="H1672" s="1408"/>
      <c r="I1672" s="65"/>
      <c r="J1672" s="66"/>
      <c r="K1672" s="1407"/>
      <c r="L1672" s="1409"/>
      <c r="M1672" s="668"/>
    </row>
    <row r="1673" spans="1:13" s="67" customFormat="1">
      <c r="A1673" s="1406"/>
      <c r="B1673" s="1407"/>
      <c r="C1673" s="668"/>
      <c r="D1673" s="666"/>
      <c r="E1673" s="667"/>
      <c r="F1673" s="667"/>
      <c r="G1673" s="668"/>
      <c r="H1673" s="1408"/>
      <c r="I1673" s="65"/>
      <c r="J1673" s="66"/>
      <c r="K1673" s="1407"/>
      <c r="L1673" s="1409"/>
      <c r="M1673" s="668"/>
    </row>
    <row r="1674" spans="1:13" s="67" customFormat="1">
      <c r="A1674" s="1406"/>
      <c r="B1674" s="1407"/>
      <c r="C1674" s="668"/>
      <c r="D1674" s="666"/>
      <c r="E1674" s="667"/>
      <c r="F1674" s="667"/>
      <c r="G1674" s="668"/>
      <c r="H1674" s="1408"/>
      <c r="I1674" s="65"/>
      <c r="J1674" s="66"/>
      <c r="K1674" s="1407"/>
      <c r="L1674" s="1409"/>
      <c r="M1674" s="668"/>
    </row>
    <row r="1675" spans="1:13" s="67" customFormat="1">
      <c r="A1675" s="1406"/>
      <c r="B1675" s="1407"/>
      <c r="C1675" s="668"/>
      <c r="D1675" s="666"/>
      <c r="E1675" s="667"/>
      <c r="F1675" s="667"/>
      <c r="G1675" s="668"/>
      <c r="H1675" s="1408"/>
      <c r="I1675" s="65"/>
      <c r="J1675" s="66"/>
      <c r="K1675" s="1407"/>
      <c r="L1675" s="1409"/>
      <c r="M1675" s="668"/>
    </row>
    <row r="1676" spans="1:13" s="67" customFormat="1">
      <c r="A1676" s="1406"/>
      <c r="B1676" s="1407"/>
      <c r="C1676" s="668"/>
      <c r="D1676" s="666"/>
      <c r="E1676" s="667"/>
      <c r="F1676" s="667"/>
      <c r="G1676" s="668"/>
      <c r="H1676" s="1408"/>
      <c r="I1676" s="65"/>
      <c r="J1676" s="66"/>
      <c r="K1676" s="1407"/>
      <c r="L1676" s="1409"/>
      <c r="M1676" s="668"/>
    </row>
    <row r="1677" spans="1:13" s="67" customFormat="1">
      <c r="A1677" s="1406"/>
      <c r="B1677" s="1407"/>
      <c r="C1677" s="668"/>
      <c r="D1677" s="666"/>
      <c r="E1677" s="667"/>
      <c r="F1677" s="667"/>
      <c r="G1677" s="668"/>
      <c r="H1677" s="1408"/>
      <c r="I1677" s="65"/>
      <c r="J1677" s="66"/>
      <c r="K1677" s="1407"/>
      <c r="L1677" s="1409"/>
      <c r="M1677" s="668"/>
    </row>
    <row r="1678" spans="1:13" s="67" customFormat="1">
      <c r="A1678" s="1406"/>
      <c r="B1678" s="1407"/>
      <c r="C1678" s="668"/>
      <c r="D1678" s="666"/>
      <c r="E1678" s="667"/>
      <c r="F1678" s="667"/>
      <c r="G1678" s="668"/>
      <c r="H1678" s="1408"/>
      <c r="I1678" s="65"/>
      <c r="J1678" s="66"/>
      <c r="K1678" s="1407"/>
      <c r="L1678" s="1409"/>
      <c r="M1678" s="668"/>
    </row>
    <row r="1679" spans="1:13" s="67" customFormat="1">
      <c r="A1679" s="1406"/>
      <c r="B1679" s="1407"/>
      <c r="C1679" s="668"/>
      <c r="D1679" s="666"/>
      <c r="E1679" s="667"/>
      <c r="F1679" s="667"/>
      <c r="G1679" s="668"/>
      <c r="H1679" s="1408"/>
      <c r="I1679" s="65"/>
      <c r="J1679" s="66"/>
      <c r="K1679" s="1407"/>
      <c r="L1679" s="1409"/>
      <c r="M1679" s="668"/>
    </row>
    <row r="1680" spans="1:13" s="67" customFormat="1">
      <c r="A1680" s="1406"/>
      <c r="B1680" s="1407"/>
      <c r="C1680" s="668"/>
      <c r="D1680" s="666"/>
      <c r="E1680" s="667"/>
      <c r="F1680" s="667"/>
      <c r="G1680" s="668"/>
      <c r="H1680" s="1408"/>
      <c r="I1680" s="65"/>
      <c r="J1680" s="66"/>
      <c r="K1680" s="1407"/>
      <c r="L1680" s="1409"/>
      <c r="M1680" s="668"/>
    </row>
    <row r="1681" spans="1:13" s="67" customFormat="1">
      <c r="A1681" s="1406"/>
      <c r="B1681" s="1407"/>
      <c r="C1681" s="668"/>
      <c r="D1681" s="666"/>
      <c r="E1681" s="667"/>
      <c r="F1681" s="667"/>
      <c r="G1681" s="668"/>
      <c r="H1681" s="1408"/>
      <c r="I1681" s="65"/>
      <c r="J1681" s="66"/>
      <c r="K1681" s="1407"/>
      <c r="L1681" s="1409"/>
      <c r="M1681" s="668"/>
    </row>
    <row r="1682" spans="1:13" s="67" customFormat="1">
      <c r="A1682" s="1406"/>
      <c r="B1682" s="1407"/>
      <c r="C1682" s="668"/>
      <c r="D1682" s="666"/>
      <c r="E1682" s="667"/>
      <c r="F1682" s="667"/>
      <c r="G1682" s="668"/>
      <c r="H1682" s="1408"/>
      <c r="I1682" s="65"/>
      <c r="J1682" s="66"/>
      <c r="K1682" s="1407"/>
      <c r="L1682" s="1409"/>
      <c r="M1682" s="668"/>
    </row>
    <row r="1683" spans="1:13" s="67" customFormat="1">
      <c r="A1683" s="1406"/>
      <c r="B1683" s="1407"/>
      <c r="C1683" s="668"/>
      <c r="D1683" s="666"/>
      <c r="E1683" s="667"/>
      <c r="F1683" s="667"/>
      <c r="G1683" s="668"/>
      <c r="H1683" s="1408"/>
      <c r="I1683" s="65"/>
      <c r="J1683" s="66"/>
      <c r="K1683" s="1407"/>
      <c r="L1683" s="1409"/>
      <c r="M1683" s="668"/>
    </row>
    <row r="1684" spans="1:13" s="67" customFormat="1">
      <c r="A1684" s="1406"/>
      <c r="B1684" s="1407"/>
      <c r="C1684" s="668"/>
      <c r="D1684" s="666"/>
      <c r="E1684" s="667"/>
      <c r="F1684" s="667"/>
      <c r="G1684" s="668"/>
      <c r="H1684" s="1408"/>
      <c r="I1684" s="65"/>
      <c r="J1684" s="66"/>
      <c r="K1684" s="1407"/>
      <c r="L1684" s="1409"/>
      <c r="M1684" s="668"/>
    </row>
    <row r="1685" spans="1:13" s="67" customFormat="1">
      <c r="A1685" s="1406"/>
      <c r="B1685" s="1407"/>
      <c r="C1685" s="668"/>
      <c r="D1685" s="666"/>
      <c r="E1685" s="667"/>
      <c r="F1685" s="667"/>
      <c r="G1685" s="668"/>
      <c r="H1685" s="1408"/>
      <c r="I1685" s="65"/>
      <c r="J1685" s="66"/>
      <c r="K1685" s="1407"/>
      <c r="L1685" s="1409"/>
      <c r="M1685" s="668"/>
    </row>
    <row r="1686" spans="1:13" s="67" customFormat="1">
      <c r="A1686" s="1406"/>
      <c r="B1686" s="1407"/>
      <c r="C1686" s="668"/>
      <c r="D1686" s="666"/>
      <c r="E1686" s="667"/>
      <c r="F1686" s="667"/>
      <c r="G1686" s="668"/>
      <c r="H1686" s="1408"/>
      <c r="I1686" s="65"/>
      <c r="J1686" s="66"/>
      <c r="K1686" s="1407"/>
      <c r="L1686" s="1409"/>
      <c r="M1686" s="668"/>
    </row>
    <row r="1687" spans="1:13" s="67" customFormat="1">
      <c r="A1687" s="1406"/>
      <c r="B1687" s="1407"/>
      <c r="C1687" s="668"/>
      <c r="D1687" s="666"/>
      <c r="E1687" s="667"/>
      <c r="F1687" s="667"/>
      <c r="G1687" s="668"/>
      <c r="H1687" s="1408"/>
      <c r="I1687" s="65"/>
      <c r="J1687" s="66"/>
      <c r="K1687" s="1407"/>
      <c r="L1687" s="1409"/>
      <c r="M1687" s="668"/>
    </row>
    <row r="1688" spans="1:13" s="67" customFormat="1">
      <c r="A1688" s="1406"/>
      <c r="B1688" s="1407"/>
      <c r="C1688" s="668"/>
      <c r="D1688" s="666"/>
      <c r="E1688" s="667"/>
      <c r="F1688" s="667"/>
      <c r="G1688" s="668"/>
      <c r="H1688" s="1408"/>
      <c r="I1688" s="65"/>
      <c r="J1688" s="66"/>
      <c r="K1688" s="1407"/>
      <c r="L1688" s="1409"/>
      <c r="M1688" s="668"/>
    </row>
    <row r="1689" spans="1:13" s="67" customFormat="1">
      <c r="A1689" s="1406"/>
      <c r="B1689" s="1407"/>
      <c r="C1689" s="668"/>
      <c r="D1689" s="666"/>
      <c r="E1689" s="667"/>
      <c r="F1689" s="667"/>
      <c r="G1689" s="668"/>
      <c r="H1689" s="1408"/>
      <c r="I1689" s="65"/>
      <c r="J1689" s="66"/>
      <c r="K1689" s="1407"/>
      <c r="L1689" s="1409"/>
      <c r="M1689" s="668"/>
    </row>
    <row r="1690" spans="1:13" s="67" customFormat="1">
      <c r="A1690" s="1406"/>
      <c r="B1690" s="1407"/>
      <c r="C1690" s="668"/>
      <c r="D1690" s="666"/>
      <c r="E1690" s="667"/>
      <c r="F1690" s="667"/>
      <c r="G1690" s="668"/>
      <c r="H1690" s="1408"/>
      <c r="I1690" s="65"/>
      <c r="J1690" s="66"/>
      <c r="K1690" s="1407"/>
      <c r="L1690" s="1409"/>
      <c r="M1690" s="668"/>
    </row>
    <row r="1691" spans="1:13" s="67" customFormat="1">
      <c r="A1691" s="1406"/>
      <c r="B1691" s="1407"/>
      <c r="C1691" s="668"/>
      <c r="D1691" s="666"/>
      <c r="E1691" s="667"/>
      <c r="F1691" s="667"/>
      <c r="G1691" s="668"/>
      <c r="H1691" s="1408"/>
      <c r="I1691" s="65"/>
      <c r="J1691" s="66"/>
      <c r="K1691" s="1407"/>
      <c r="L1691" s="1409"/>
      <c r="M1691" s="668"/>
    </row>
    <row r="1692" spans="1:13" s="67" customFormat="1">
      <c r="A1692" s="1406"/>
      <c r="B1692" s="1407"/>
      <c r="C1692" s="668"/>
      <c r="D1692" s="666"/>
      <c r="E1692" s="667"/>
      <c r="F1692" s="667"/>
      <c r="G1692" s="668"/>
      <c r="H1692" s="1408"/>
      <c r="I1692" s="65"/>
      <c r="J1692" s="66"/>
      <c r="K1692" s="1407"/>
      <c r="L1692" s="1409"/>
      <c r="M1692" s="668"/>
    </row>
    <row r="1693" spans="1:13" s="67" customFormat="1">
      <c r="A1693" s="1406"/>
      <c r="B1693" s="1407"/>
      <c r="C1693" s="668"/>
      <c r="D1693" s="666"/>
      <c r="E1693" s="667"/>
      <c r="F1693" s="667"/>
      <c r="G1693" s="668"/>
      <c r="H1693" s="1408"/>
      <c r="I1693" s="65"/>
      <c r="J1693" s="66"/>
      <c r="K1693" s="1407"/>
      <c r="L1693" s="1409"/>
      <c r="M1693" s="668"/>
    </row>
    <row r="1694" spans="1:13" s="67" customFormat="1">
      <c r="A1694" s="1406"/>
      <c r="B1694" s="1407"/>
      <c r="C1694" s="668"/>
      <c r="D1694" s="666"/>
      <c r="E1694" s="667"/>
      <c r="F1694" s="667"/>
      <c r="G1694" s="668"/>
      <c r="H1694" s="1408"/>
      <c r="I1694" s="65"/>
      <c r="J1694" s="66"/>
      <c r="K1694" s="1407"/>
      <c r="L1694" s="1409"/>
      <c r="M1694" s="668"/>
    </row>
    <row r="1695" spans="1:13" s="67" customFormat="1">
      <c r="A1695" s="1406"/>
      <c r="B1695" s="1407"/>
      <c r="C1695" s="668"/>
      <c r="D1695" s="666"/>
      <c r="E1695" s="667"/>
      <c r="F1695" s="667"/>
      <c r="G1695" s="668"/>
      <c r="H1695" s="1408"/>
      <c r="I1695" s="65"/>
      <c r="J1695" s="66"/>
      <c r="K1695" s="1407"/>
      <c r="L1695" s="1409"/>
      <c r="M1695" s="668"/>
    </row>
    <row r="1696" spans="1:13" s="67" customFormat="1">
      <c r="A1696" s="1406"/>
      <c r="B1696" s="1407"/>
      <c r="C1696" s="668"/>
      <c r="D1696" s="666"/>
      <c r="E1696" s="667"/>
      <c r="F1696" s="667"/>
      <c r="G1696" s="668"/>
      <c r="H1696" s="1408"/>
      <c r="I1696" s="65"/>
      <c r="J1696" s="66"/>
      <c r="K1696" s="1407"/>
      <c r="L1696" s="1409"/>
      <c r="M1696" s="668"/>
    </row>
    <row r="1697" spans="1:13" s="67" customFormat="1">
      <c r="A1697" s="1406"/>
      <c r="B1697" s="1407"/>
      <c r="C1697" s="668"/>
      <c r="D1697" s="666"/>
      <c r="E1697" s="667"/>
      <c r="F1697" s="667"/>
      <c r="G1697" s="668"/>
      <c r="H1697" s="1408"/>
      <c r="I1697" s="65"/>
      <c r="J1697" s="66"/>
      <c r="K1697" s="1407"/>
      <c r="L1697" s="1409"/>
      <c r="M1697" s="668"/>
    </row>
    <row r="1698" spans="1:13" s="67" customFormat="1">
      <c r="A1698" s="1406"/>
      <c r="B1698" s="1407"/>
      <c r="C1698" s="668"/>
      <c r="D1698" s="666"/>
      <c r="E1698" s="667"/>
      <c r="F1698" s="667"/>
      <c r="G1698" s="668"/>
      <c r="H1698" s="1408"/>
      <c r="I1698" s="65"/>
      <c r="J1698" s="66"/>
      <c r="K1698" s="1407"/>
      <c r="L1698" s="1409"/>
      <c r="M1698" s="668"/>
    </row>
    <row r="1699" spans="1:13" s="67" customFormat="1">
      <c r="A1699" s="1406"/>
      <c r="B1699" s="1407"/>
      <c r="C1699" s="668"/>
      <c r="D1699" s="666"/>
      <c r="E1699" s="667"/>
      <c r="F1699" s="667"/>
      <c r="G1699" s="668"/>
      <c r="H1699" s="1408"/>
      <c r="I1699" s="65"/>
      <c r="J1699" s="66"/>
      <c r="K1699" s="1407"/>
      <c r="L1699" s="1409"/>
      <c r="M1699" s="668"/>
    </row>
    <row r="1700" spans="1:13" s="67" customFormat="1">
      <c r="A1700" s="1406"/>
      <c r="B1700" s="1407"/>
      <c r="C1700" s="668"/>
      <c r="D1700" s="666"/>
      <c r="E1700" s="667"/>
      <c r="F1700" s="667"/>
      <c r="G1700" s="668"/>
      <c r="H1700" s="1408"/>
      <c r="I1700" s="65"/>
      <c r="J1700" s="66"/>
      <c r="K1700" s="1407"/>
      <c r="L1700" s="1409"/>
      <c r="M1700" s="668"/>
    </row>
    <row r="1701" spans="1:13" s="67" customFormat="1">
      <c r="A1701" s="1406"/>
      <c r="B1701" s="1407"/>
      <c r="C1701" s="668"/>
      <c r="D1701" s="666"/>
      <c r="E1701" s="667"/>
      <c r="F1701" s="667"/>
      <c r="G1701" s="668"/>
      <c r="H1701" s="1408"/>
      <c r="I1701" s="65"/>
      <c r="J1701" s="66"/>
      <c r="K1701" s="1407"/>
      <c r="L1701" s="1409"/>
      <c r="M1701" s="668"/>
    </row>
    <row r="1702" spans="1:13" s="67" customFormat="1">
      <c r="A1702" s="1406"/>
      <c r="B1702" s="1407"/>
      <c r="C1702" s="668"/>
      <c r="D1702" s="666"/>
      <c r="E1702" s="667"/>
      <c r="F1702" s="667"/>
      <c r="G1702" s="668"/>
      <c r="H1702" s="1408"/>
      <c r="I1702" s="65"/>
      <c r="J1702" s="66"/>
      <c r="K1702" s="1407"/>
      <c r="L1702" s="1409"/>
      <c r="M1702" s="668"/>
    </row>
    <row r="1703" spans="1:13" s="67" customFormat="1">
      <c r="A1703" s="1406"/>
      <c r="B1703" s="1407"/>
      <c r="C1703" s="668"/>
      <c r="D1703" s="666"/>
      <c r="E1703" s="667"/>
      <c r="F1703" s="667"/>
      <c r="G1703" s="668"/>
      <c r="H1703" s="1408"/>
      <c r="I1703" s="65"/>
      <c r="J1703" s="66"/>
      <c r="K1703" s="1407"/>
      <c r="L1703" s="1409"/>
      <c r="M1703" s="668"/>
    </row>
    <row r="1704" spans="1:13" s="67" customFormat="1">
      <c r="A1704" s="1406"/>
      <c r="B1704" s="1407"/>
      <c r="C1704" s="668"/>
      <c r="D1704" s="666"/>
      <c r="E1704" s="667"/>
      <c r="F1704" s="667"/>
      <c r="G1704" s="668"/>
      <c r="H1704" s="1408"/>
      <c r="I1704" s="65"/>
      <c r="J1704" s="66"/>
      <c r="K1704" s="1407"/>
      <c r="L1704" s="1409"/>
      <c r="M1704" s="668"/>
    </row>
    <row r="1705" spans="1:13" s="67" customFormat="1">
      <c r="A1705" s="1406"/>
      <c r="B1705" s="1407"/>
      <c r="C1705" s="668"/>
      <c r="D1705" s="666"/>
      <c r="E1705" s="667"/>
      <c r="F1705" s="667"/>
      <c r="G1705" s="668"/>
      <c r="H1705" s="1408"/>
      <c r="I1705" s="65"/>
      <c r="J1705" s="66"/>
      <c r="K1705" s="1407"/>
      <c r="L1705" s="1409"/>
      <c r="M1705" s="668"/>
    </row>
    <row r="1706" spans="1:13" s="67" customFormat="1">
      <c r="A1706" s="1406"/>
      <c r="B1706" s="1407"/>
      <c r="C1706" s="668"/>
      <c r="D1706" s="666"/>
      <c r="E1706" s="667"/>
      <c r="F1706" s="667"/>
      <c r="G1706" s="668"/>
      <c r="H1706" s="1408"/>
      <c r="I1706" s="65"/>
      <c r="J1706" s="66"/>
      <c r="K1706" s="1407"/>
      <c r="L1706" s="1409"/>
      <c r="M1706" s="668"/>
    </row>
    <row r="1707" spans="1:13" s="67" customFormat="1">
      <c r="A1707" s="1406"/>
      <c r="B1707" s="1407"/>
      <c r="C1707" s="668"/>
      <c r="D1707" s="666"/>
      <c r="E1707" s="667"/>
      <c r="F1707" s="667"/>
      <c r="G1707" s="668"/>
      <c r="H1707" s="1408"/>
      <c r="I1707" s="65"/>
      <c r="J1707" s="66"/>
      <c r="K1707" s="1407"/>
      <c r="L1707" s="1409"/>
      <c r="M1707" s="668"/>
    </row>
    <row r="1708" spans="1:13" s="67" customFormat="1">
      <c r="A1708" s="1406"/>
      <c r="B1708" s="1407"/>
      <c r="C1708" s="668"/>
      <c r="D1708" s="666"/>
      <c r="E1708" s="667"/>
      <c r="F1708" s="667"/>
      <c r="G1708" s="668"/>
      <c r="H1708" s="1408"/>
      <c r="I1708" s="65"/>
      <c r="J1708" s="66"/>
      <c r="K1708" s="1407"/>
      <c r="L1708" s="1409"/>
      <c r="M1708" s="668"/>
    </row>
    <row r="1709" spans="1:13" s="67" customFormat="1">
      <c r="A1709" s="1406"/>
      <c r="B1709" s="1407"/>
      <c r="C1709" s="668"/>
      <c r="D1709" s="666"/>
      <c r="E1709" s="667"/>
      <c r="F1709" s="667"/>
      <c r="G1709" s="668"/>
      <c r="H1709" s="1408"/>
      <c r="I1709" s="65"/>
      <c r="J1709" s="66"/>
      <c r="K1709" s="1407"/>
      <c r="L1709" s="1409"/>
      <c r="M1709" s="668"/>
    </row>
    <row r="1710" spans="1:13" s="67" customFormat="1">
      <c r="A1710" s="1406"/>
      <c r="B1710" s="1407"/>
      <c r="C1710" s="668"/>
      <c r="D1710" s="666"/>
      <c r="E1710" s="667"/>
      <c r="F1710" s="667"/>
      <c r="G1710" s="668"/>
      <c r="H1710" s="1408"/>
      <c r="I1710" s="65"/>
      <c r="J1710" s="66"/>
      <c r="K1710" s="1407"/>
      <c r="L1710" s="1409"/>
      <c r="M1710" s="668"/>
    </row>
    <row r="1711" spans="1:13" s="67" customFormat="1">
      <c r="A1711" s="1406"/>
      <c r="B1711" s="1407"/>
      <c r="C1711" s="668"/>
      <c r="D1711" s="666"/>
      <c r="E1711" s="667"/>
      <c r="F1711" s="667"/>
      <c r="G1711" s="668"/>
      <c r="H1711" s="1408"/>
      <c r="I1711" s="65"/>
      <c r="J1711" s="66"/>
      <c r="K1711" s="1407"/>
      <c r="L1711" s="1409"/>
      <c r="M1711" s="668"/>
    </row>
    <row r="1712" spans="1:13" s="67" customFormat="1">
      <c r="A1712" s="1406"/>
      <c r="B1712" s="1407"/>
      <c r="C1712" s="668"/>
      <c r="D1712" s="666"/>
      <c r="E1712" s="667"/>
      <c r="F1712" s="667"/>
      <c r="G1712" s="668"/>
      <c r="H1712" s="1408"/>
      <c r="I1712" s="65"/>
      <c r="J1712" s="66"/>
      <c r="K1712" s="1407"/>
      <c r="L1712" s="1409"/>
      <c r="M1712" s="668"/>
    </row>
    <row r="1713" spans="1:13" s="67" customFormat="1">
      <c r="A1713" s="1406"/>
      <c r="B1713" s="1407"/>
      <c r="C1713" s="668"/>
      <c r="D1713" s="666"/>
      <c r="E1713" s="667"/>
      <c r="F1713" s="667"/>
      <c r="G1713" s="668"/>
      <c r="H1713" s="1408"/>
      <c r="I1713" s="65"/>
      <c r="J1713" s="66"/>
      <c r="K1713" s="1407"/>
      <c r="L1713" s="1409"/>
      <c r="M1713" s="668"/>
    </row>
    <row r="1714" spans="1:13" s="67" customFormat="1">
      <c r="A1714" s="1406"/>
      <c r="B1714" s="1407"/>
      <c r="C1714" s="668"/>
      <c r="D1714" s="666"/>
      <c r="E1714" s="667"/>
      <c r="F1714" s="667"/>
      <c r="G1714" s="668"/>
      <c r="H1714" s="1408"/>
      <c r="I1714" s="65"/>
      <c r="J1714" s="66"/>
      <c r="K1714" s="1407"/>
      <c r="L1714" s="1409"/>
      <c r="M1714" s="668"/>
    </row>
    <row r="1715" spans="1:13" s="67" customFormat="1">
      <c r="A1715" s="1406"/>
      <c r="B1715" s="1407"/>
      <c r="C1715" s="668"/>
      <c r="D1715" s="666"/>
      <c r="E1715" s="667"/>
      <c r="F1715" s="667"/>
      <c r="G1715" s="668"/>
      <c r="H1715" s="1408"/>
      <c r="I1715" s="65"/>
      <c r="J1715" s="66"/>
      <c r="K1715" s="1407"/>
      <c r="L1715" s="1409"/>
      <c r="M1715" s="668"/>
    </row>
  </sheetData>
  <autoFilter ref="A2:M383">
    <filterColumn colId="2" showButton="0"/>
    <filterColumn colId="3" showButton="0"/>
    <filterColumn colId="4" showButton="0"/>
    <filterColumn colId="5" showButton="0"/>
  </autoFilter>
  <mergeCells count="571">
    <mergeCell ref="B139:B143"/>
    <mergeCell ref="A149:A153"/>
    <mergeCell ref="A144:A148"/>
    <mergeCell ref="J129:J133"/>
    <mergeCell ref="A129:A133"/>
    <mergeCell ref="B129:B133"/>
    <mergeCell ref="B144:B148"/>
    <mergeCell ref="B149:B153"/>
    <mergeCell ref="I139:I143"/>
    <mergeCell ref="J139:J143"/>
    <mergeCell ref="I134:I138"/>
    <mergeCell ref="I119:I123"/>
    <mergeCell ref="J109:J113"/>
    <mergeCell ref="K109:K113"/>
    <mergeCell ref="K139:K143"/>
    <mergeCell ref="L134:L138"/>
    <mergeCell ref="L154:L158"/>
    <mergeCell ref="J144:J148"/>
    <mergeCell ref="K129:K133"/>
    <mergeCell ref="L129:L133"/>
    <mergeCell ref="I114:I118"/>
    <mergeCell ref="I149:I153"/>
    <mergeCell ref="J149:J153"/>
    <mergeCell ref="I124:I128"/>
    <mergeCell ref="J124:J128"/>
    <mergeCell ref="K124:K128"/>
    <mergeCell ref="J134:J138"/>
    <mergeCell ref="I154:I158"/>
    <mergeCell ref="J154:J158"/>
    <mergeCell ref="K154:K158"/>
    <mergeCell ref="I129:I133"/>
    <mergeCell ref="I144:I148"/>
    <mergeCell ref="K134:K138"/>
    <mergeCell ref="M109:M113"/>
    <mergeCell ref="M104:M108"/>
    <mergeCell ref="K69:K73"/>
    <mergeCell ref="L109:L113"/>
    <mergeCell ref="K149:K153"/>
    <mergeCell ref="L149:L153"/>
    <mergeCell ref="K164:K168"/>
    <mergeCell ref="M99:M103"/>
    <mergeCell ref="L119:L123"/>
    <mergeCell ref="K114:K118"/>
    <mergeCell ref="M79:M83"/>
    <mergeCell ref="M84:M88"/>
    <mergeCell ref="L104:L108"/>
    <mergeCell ref="K99:K103"/>
    <mergeCell ref="K89:K93"/>
    <mergeCell ref="K159:K163"/>
    <mergeCell ref="L159:L163"/>
    <mergeCell ref="L139:L143"/>
    <mergeCell ref="M149:M153"/>
    <mergeCell ref="I324:I328"/>
    <mergeCell ref="J319:J323"/>
    <mergeCell ref="J324:J328"/>
    <mergeCell ref="K319:K323"/>
    <mergeCell ref="K324:K328"/>
    <mergeCell ref="L319:L323"/>
    <mergeCell ref="L324:L328"/>
    <mergeCell ref="M319:M323"/>
    <mergeCell ref="L164:L168"/>
    <mergeCell ref="M164:M168"/>
    <mergeCell ref="I164:I168"/>
    <mergeCell ref="J164:J168"/>
    <mergeCell ref="L254:L258"/>
    <mergeCell ref="J259:J263"/>
    <mergeCell ref="K214:K218"/>
    <mergeCell ref="K204:K208"/>
    <mergeCell ref="L204:L208"/>
    <mergeCell ref="M294:M298"/>
    <mergeCell ref="I269:I273"/>
    <mergeCell ref="I259:I263"/>
    <mergeCell ref="K224:K228"/>
    <mergeCell ref="M219:M223"/>
    <mergeCell ref="M224:M228"/>
    <mergeCell ref="M259:M263"/>
    <mergeCell ref="M344:M348"/>
    <mergeCell ref="K314:K318"/>
    <mergeCell ref="L314:L318"/>
    <mergeCell ref="K339:K343"/>
    <mergeCell ref="L339:L343"/>
    <mergeCell ref="M339:M343"/>
    <mergeCell ref="K344:K348"/>
    <mergeCell ref="L344:L348"/>
    <mergeCell ref="M314:M318"/>
    <mergeCell ref="M324:M328"/>
    <mergeCell ref="L329:L333"/>
    <mergeCell ref="B319:B323"/>
    <mergeCell ref="A304:A308"/>
    <mergeCell ref="M304:M308"/>
    <mergeCell ref="J299:J303"/>
    <mergeCell ref="K299:K303"/>
    <mergeCell ref="L299:L303"/>
    <mergeCell ref="M299:M303"/>
    <mergeCell ref="J304:J308"/>
    <mergeCell ref="K304:K308"/>
    <mergeCell ref="B299:B303"/>
    <mergeCell ref="H299:H303"/>
    <mergeCell ref="I299:I303"/>
    <mergeCell ref="I304:I308"/>
    <mergeCell ref="B304:B308"/>
    <mergeCell ref="M309:M313"/>
    <mergeCell ref="K309:K313"/>
    <mergeCell ref="L309:L313"/>
    <mergeCell ref="I319:I323"/>
    <mergeCell ref="B314:B318"/>
    <mergeCell ref="H54:H58"/>
    <mergeCell ref="A204:A208"/>
    <mergeCell ref="A124:A128"/>
    <mergeCell ref="H124:H128"/>
    <mergeCell ref="B124:B128"/>
    <mergeCell ref="A154:A158"/>
    <mergeCell ref="B154:B158"/>
    <mergeCell ref="H154:H158"/>
    <mergeCell ref="A119:A123"/>
    <mergeCell ref="A114:A118"/>
    <mergeCell ref="B59:B63"/>
    <mergeCell ref="A59:A63"/>
    <mergeCell ref="H84:H88"/>
    <mergeCell ref="B174:B178"/>
    <mergeCell ref="A54:A58"/>
    <mergeCell ref="B54:B58"/>
    <mergeCell ref="H149:H153"/>
    <mergeCell ref="H129:H133"/>
    <mergeCell ref="A134:A138"/>
    <mergeCell ref="B134:B138"/>
    <mergeCell ref="H139:H143"/>
    <mergeCell ref="H144:H148"/>
    <mergeCell ref="H134:H138"/>
    <mergeCell ref="A139:A143"/>
    <mergeCell ref="A354:A358"/>
    <mergeCell ref="B354:B358"/>
    <mergeCell ref="H354:H358"/>
    <mergeCell ref="H239:H243"/>
    <mergeCell ref="H249:H253"/>
    <mergeCell ref="B119:B123"/>
    <mergeCell ref="B229:B233"/>
    <mergeCell ref="H109:H113"/>
    <mergeCell ref="H344:H348"/>
    <mergeCell ref="H314:H318"/>
    <mergeCell ref="A339:A343"/>
    <mergeCell ref="B339:B343"/>
    <mergeCell ref="H339:H343"/>
    <mergeCell ref="A344:A348"/>
    <mergeCell ref="B344:B348"/>
    <mergeCell ref="A309:A313"/>
    <mergeCell ref="B309:B313"/>
    <mergeCell ref="A314:A318"/>
    <mergeCell ref="A329:A333"/>
    <mergeCell ref="A334:A338"/>
    <mergeCell ref="H329:H333"/>
    <mergeCell ref="H159:H163"/>
    <mergeCell ref="A324:A328"/>
    <mergeCell ref="A319:A323"/>
    <mergeCell ref="M24:M28"/>
    <mergeCell ref="K24:K28"/>
    <mergeCell ref="L24:L28"/>
    <mergeCell ref="K29:K33"/>
    <mergeCell ref="M39:M43"/>
    <mergeCell ref="I39:I43"/>
    <mergeCell ref="J39:J43"/>
    <mergeCell ref="J49:J53"/>
    <mergeCell ref="M64:M68"/>
    <mergeCell ref="I54:I58"/>
    <mergeCell ref="J54:J58"/>
    <mergeCell ref="I59:I63"/>
    <mergeCell ref="J59:J63"/>
    <mergeCell ref="I64:I68"/>
    <mergeCell ref="I49:I53"/>
    <mergeCell ref="I29:I33"/>
    <mergeCell ref="J29:J33"/>
    <mergeCell ref="J34:J38"/>
    <mergeCell ref="L29:L33"/>
    <mergeCell ref="K64:K68"/>
    <mergeCell ref="M49:M53"/>
    <mergeCell ref="J64:J68"/>
    <mergeCell ref="M54:M58"/>
    <mergeCell ref="M59:M63"/>
    <mergeCell ref="M354:M358"/>
    <mergeCell ref="M279:M283"/>
    <mergeCell ref="L229:L233"/>
    <mergeCell ref="H199:H203"/>
    <mergeCell ref="K349:K353"/>
    <mergeCell ref="M229:M233"/>
    <mergeCell ref="M204:M208"/>
    <mergeCell ref="I199:I203"/>
    <mergeCell ref="L249:L253"/>
    <mergeCell ref="M249:M253"/>
    <mergeCell ref="H284:H288"/>
    <mergeCell ref="I284:I288"/>
    <mergeCell ref="M349:M353"/>
    <mergeCell ref="K199:K203"/>
    <mergeCell ref="J254:J258"/>
    <mergeCell ref="J234:J238"/>
    <mergeCell ref="L354:L358"/>
    <mergeCell ref="L349:L353"/>
    <mergeCell ref="K354:K358"/>
    <mergeCell ref="M274:M278"/>
    <mergeCell ref="M239:M243"/>
    <mergeCell ref="H319:H323"/>
    <mergeCell ref="H324:H328"/>
    <mergeCell ref="H304:H308"/>
    <mergeCell ref="A19:A23"/>
    <mergeCell ref="B19:B23"/>
    <mergeCell ref="K19:K23"/>
    <mergeCell ref="B29:B33"/>
    <mergeCell ref="H29:H33"/>
    <mergeCell ref="A24:A28"/>
    <mergeCell ref="B24:B28"/>
    <mergeCell ref="A39:A43"/>
    <mergeCell ref="B39:B43"/>
    <mergeCell ref="H39:H43"/>
    <mergeCell ref="A29:A33"/>
    <mergeCell ref="A34:A38"/>
    <mergeCell ref="H34:H38"/>
    <mergeCell ref="A44:A48"/>
    <mergeCell ref="H44:H48"/>
    <mergeCell ref="B34:B38"/>
    <mergeCell ref="B89:B93"/>
    <mergeCell ref="H89:H93"/>
    <mergeCell ref="B109:B113"/>
    <mergeCell ref="A104:A108"/>
    <mergeCell ref="B104:B108"/>
    <mergeCell ref="H104:H108"/>
    <mergeCell ref="A109:A113"/>
    <mergeCell ref="A94:A98"/>
    <mergeCell ref="B94:B98"/>
    <mergeCell ref="H94:H98"/>
    <mergeCell ref="A89:A93"/>
    <mergeCell ref="B49:B53"/>
    <mergeCell ref="B69:B73"/>
    <mergeCell ref="A64:A68"/>
    <mergeCell ref="A101:A103"/>
    <mergeCell ref="B99:B103"/>
    <mergeCell ref="A49:A53"/>
    <mergeCell ref="H49:H53"/>
    <mergeCell ref="H69:H73"/>
    <mergeCell ref="H79:H83"/>
    <mergeCell ref="B44:B48"/>
    <mergeCell ref="K2:K3"/>
    <mergeCell ref="H4:H8"/>
    <mergeCell ref="H24:H28"/>
    <mergeCell ref="L34:L38"/>
    <mergeCell ref="K34:K38"/>
    <mergeCell ref="I34:I38"/>
    <mergeCell ref="I109:I113"/>
    <mergeCell ref="B114:B118"/>
    <mergeCell ref="H119:H123"/>
    <mergeCell ref="I44:I48"/>
    <mergeCell ref="H114:H118"/>
    <mergeCell ref="J44:J48"/>
    <mergeCell ref="K39:K43"/>
    <mergeCell ref="L64:L68"/>
    <mergeCell ref="J114:J118"/>
    <mergeCell ref="H59:H63"/>
    <mergeCell ref="H64:H68"/>
    <mergeCell ref="K54:K58"/>
    <mergeCell ref="L54:L58"/>
    <mergeCell ref="K59:K63"/>
    <mergeCell ref="L59:L63"/>
    <mergeCell ref="K44:K48"/>
    <mergeCell ref="J119:J123"/>
    <mergeCell ref="I104:I108"/>
    <mergeCell ref="A1:M1"/>
    <mergeCell ref="M9:M13"/>
    <mergeCell ref="A14:A18"/>
    <mergeCell ref="B14:B18"/>
    <mergeCell ref="K14:K18"/>
    <mergeCell ref="L14:L18"/>
    <mergeCell ref="M14:M18"/>
    <mergeCell ref="A9:A13"/>
    <mergeCell ref="B9:B13"/>
    <mergeCell ref="K9:K13"/>
    <mergeCell ref="L9:L13"/>
    <mergeCell ref="M2:M3"/>
    <mergeCell ref="A4:A8"/>
    <mergeCell ref="B4:B8"/>
    <mergeCell ref="K4:K8"/>
    <mergeCell ref="L4:L8"/>
    <mergeCell ref="M4:M8"/>
    <mergeCell ref="A2:A3"/>
    <mergeCell ref="L2:L3"/>
    <mergeCell ref="B2:B3"/>
    <mergeCell ref="H9:H13"/>
    <mergeCell ref="H14:H18"/>
    <mergeCell ref="C2:G2"/>
    <mergeCell ref="H2:J2"/>
    <mergeCell ref="M19:M23"/>
    <mergeCell ref="M74:M78"/>
    <mergeCell ref="A79:A83"/>
    <mergeCell ref="M94:M98"/>
    <mergeCell ref="M89:M93"/>
    <mergeCell ref="J89:J93"/>
    <mergeCell ref="B84:B88"/>
    <mergeCell ref="A84:A88"/>
    <mergeCell ref="A74:A78"/>
    <mergeCell ref="B74:B78"/>
    <mergeCell ref="H74:H78"/>
    <mergeCell ref="K74:K78"/>
    <mergeCell ref="L74:L78"/>
    <mergeCell ref="L84:L88"/>
    <mergeCell ref="I84:I88"/>
    <mergeCell ref="J84:J88"/>
    <mergeCell ref="K84:K88"/>
    <mergeCell ref="A69:A73"/>
    <mergeCell ref="B64:B68"/>
    <mergeCell ref="L19:L23"/>
    <mergeCell ref="H19:H23"/>
    <mergeCell ref="L39:L43"/>
    <mergeCell ref="I69:I73"/>
    <mergeCell ref="J69:J73"/>
    <mergeCell ref="B279:B283"/>
    <mergeCell ref="I294:I298"/>
    <mergeCell ref="I309:I313"/>
    <mergeCell ref="A294:A298"/>
    <mergeCell ref="B294:B298"/>
    <mergeCell ref="H309:H313"/>
    <mergeCell ref="L289:L293"/>
    <mergeCell ref="L304:L308"/>
    <mergeCell ref="K294:K298"/>
    <mergeCell ref="B289:B293"/>
    <mergeCell ref="H279:H283"/>
    <mergeCell ref="A284:A288"/>
    <mergeCell ref="B284:B288"/>
    <mergeCell ref="A299:A303"/>
    <mergeCell ref="H289:H293"/>
    <mergeCell ref="H294:H298"/>
    <mergeCell ref="L294:L298"/>
    <mergeCell ref="K279:K283"/>
    <mergeCell ref="A274:A278"/>
    <mergeCell ref="A279:A283"/>
    <mergeCell ref="A289:A293"/>
    <mergeCell ref="J284:J288"/>
    <mergeCell ref="I89:I93"/>
    <mergeCell ref="K79:K83"/>
    <mergeCell ref="L79:L83"/>
    <mergeCell ref="I79:I83"/>
    <mergeCell ref="K94:K98"/>
    <mergeCell ref="B79:B83"/>
    <mergeCell ref="L99:L103"/>
    <mergeCell ref="J104:J108"/>
    <mergeCell ref="K104:K108"/>
    <mergeCell ref="L89:L93"/>
    <mergeCell ref="H99:H103"/>
    <mergeCell ref="J79:J83"/>
    <mergeCell ref="I209:I213"/>
    <mergeCell ref="H214:H218"/>
    <mergeCell ref="H189:H193"/>
    <mergeCell ref="J199:J203"/>
    <mergeCell ref="H244:H248"/>
    <mergeCell ref="J179:J183"/>
    <mergeCell ref="A249:A253"/>
    <mergeCell ref="B249:B253"/>
    <mergeCell ref="L359:L363"/>
    <mergeCell ref="K244:K248"/>
    <mergeCell ref="L244:L248"/>
    <mergeCell ref="K239:K243"/>
    <mergeCell ref="I344:I348"/>
    <mergeCell ref="J344:J348"/>
    <mergeCell ref="K274:K278"/>
    <mergeCell ref="K269:K273"/>
    <mergeCell ref="L269:L273"/>
    <mergeCell ref="K259:K263"/>
    <mergeCell ref="I359:I363"/>
    <mergeCell ref="I314:I318"/>
    <mergeCell ref="J314:J318"/>
    <mergeCell ref="K254:K258"/>
    <mergeCell ref="I329:I333"/>
    <mergeCell ref="I334:I338"/>
    <mergeCell ref="J329:J333"/>
    <mergeCell ref="J334:J338"/>
    <mergeCell ref="K329:K333"/>
    <mergeCell ref="K334:K338"/>
    <mergeCell ref="L334:L338"/>
    <mergeCell ref="I244:I248"/>
    <mergeCell ref="I279:I283"/>
    <mergeCell ref="I289:I293"/>
    <mergeCell ref="M379:M383"/>
    <mergeCell ref="M374:M378"/>
    <mergeCell ref="K374:K378"/>
    <mergeCell ref="L374:L378"/>
    <mergeCell ref="H374:H378"/>
    <mergeCell ref="A374:A378"/>
    <mergeCell ref="B374:B378"/>
    <mergeCell ref="A369:A373"/>
    <mergeCell ref="M364:M368"/>
    <mergeCell ref="A379:A383"/>
    <mergeCell ref="M369:M373"/>
    <mergeCell ref="H369:H373"/>
    <mergeCell ref="L379:L383"/>
    <mergeCell ref="B379:B383"/>
    <mergeCell ref="H379:H383"/>
    <mergeCell ref="I379:I383"/>
    <mergeCell ref="J379:J383"/>
    <mergeCell ref="L369:L373"/>
    <mergeCell ref="H364:H368"/>
    <mergeCell ref="I364:I368"/>
    <mergeCell ref="K364:K368"/>
    <mergeCell ref="J364:J368"/>
    <mergeCell ref="L364:L368"/>
    <mergeCell ref="K379:K383"/>
    <mergeCell ref="M359:M363"/>
    <mergeCell ref="A239:A243"/>
    <mergeCell ref="B269:B273"/>
    <mergeCell ref="A269:A273"/>
    <mergeCell ref="B259:B263"/>
    <mergeCell ref="I239:I243"/>
    <mergeCell ref="I249:I253"/>
    <mergeCell ref="J249:J253"/>
    <mergeCell ref="H334:H338"/>
    <mergeCell ref="B329:B333"/>
    <mergeCell ref="B334:B338"/>
    <mergeCell ref="B324:B328"/>
    <mergeCell ref="J239:J243"/>
    <mergeCell ref="J244:J248"/>
    <mergeCell ref="B274:B278"/>
    <mergeCell ref="H274:H278"/>
    <mergeCell ref="I274:I278"/>
    <mergeCell ref="J274:J278"/>
    <mergeCell ref="H269:H273"/>
    <mergeCell ref="B239:B243"/>
    <mergeCell ref="I264:I268"/>
    <mergeCell ref="A359:A363"/>
    <mergeCell ref="B359:B363"/>
    <mergeCell ref="H359:H363"/>
    <mergeCell ref="A364:A368"/>
    <mergeCell ref="B369:B373"/>
    <mergeCell ref="K369:K373"/>
    <mergeCell ref="B364:B368"/>
    <mergeCell ref="H204:H208"/>
    <mergeCell ref="I204:I208"/>
    <mergeCell ref="J204:J208"/>
    <mergeCell ref="I234:I238"/>
    <mergeCell ref="H234:H238"/>
    <mergeCell ref="B234:B238"/>
    <mergeCell ref="B264:B268"/>
    <mergeCell ref="H264:H268"/>
    <mergeCell ref="H259:H263"/>
    <mergeCell ref="J294:J298"/>
    <mergeCell ref="J309:J313"/>
    <mergeCell ref="I354:I358"/>
    <mergeCell ref="J354:J358"/>
    <mergeCell ref="J359:J363"/>
    <mergeCell ref="K359:K363"/>
    <mergeCell ref="A349:A353"/>
    <mergeCell ref="B349:B353"/>
    <mergeCell ref="H349:H353"/>
    <mergeCell ref="H254:H258"/>
    <mergeCell ref="J214:J218"/>
    <mergeCell ref="B199:B203"/>
    <mergeCell ref="H194:H198"/>
    <mergeCell ref="J184:J188"/>
    <mergeCell ref="J224:J228"/>
    <mergeCell ref="A214:A218"/>
    <mergeCell ref="J209:J213"/>
    <mergeCell ref="H224:H228"/>
    <mergeCell ref="B204:B208"/>
    <mergeCell ref="A209:A213"/>
    <mergeCell ref="I214:I218"/>
    <mergeCell ref="B209:B213"/>
    <mergeCell ref="H209:H213"/>
    <mergeCell ref="A159:A163"/>
    <mergeCell ref="B159:B163"/>
    <mergeCell ref="B164:B168"/>
    <mergeCell ref="A164:A168"/>
    <mergeCell ref="M169:M173"/>
    <mergeCell ref="J169:J173"/>
    <mergeCell ref="L169:L173"/>
    <mergeCell ref="L194:L198"/>
    <mergeCell ref="L189:L193"/>
    <mergeCell ref="L179:L183"/>
    <mergeCell ref="I169:I173"/>
    <mergeCell ref="H174:H178"/>
    <mergeCell ref="M194:M198"/>
    <mergeCell ref="K169:K173"/>
    <mergeCell ref="K194:K198"/>
    <mergeCell ref="I184:I188"/>
    <mergeCell ref="I179:I183"/>
    <mergeCell ref="H184:H188"/>
    <mergeCell ref="H179:H183"/>
    <mergeCell ref="A184:A188"/>
    <mergeCell ref="B184:B188"/>
    <mergeCell ref="A259:A263"/>
    <mergeCell ref="A254:A258"/>
    <mergeCell ref="A264:A268"/>
    <mergeCell ref="I224:I228"/>
    <mergeCell ref="I219:I223"/>
    <mergeCell ref="A234:A238"/>
    <mergeCell ref="A244:A248"/>
    <mergeCell ref="B244:B248"/>
    <mergeCell ref="A224:A228"/>
    <mergeCell ref="H219:H223"/>
    <mergeCell ref="A229:A233"/>
    <mergeCell ref="B224:B228"/>
    <mergeCell ref="A219:A223"/>
    <mergeCell ref="B254:B258"/>
    <mergeCell ref="B219:B223"/>
    <mergeCell ref="I254:I258"/>
    <mergeCell ref="H229:H233"/>
    <mergeCell ref="M289:M293"/>
    <mergeCell ref="M234:M238"/>
    <mergeCell ref="K249:K253"/>
    <mergeCell ref="L224:L228"/>
    <mergeCell ref="K229:K233"/>
    <mergeCell ref="J289:J293"/>
    <mergeCell ref="J279:J283"/>
    <mergeCell ref="J264:J268"/>
    <mergeCell ref="J269:J273"/>
    <mergeCell ref="L234:L238"/>
    <mergeCell ref="K234:K238"/>
    <mergeCell ref="K289:K293"/>
    <mergeCell ref="K284:K288"/>
    <mergeCell ref="L284:L288"/>
    <mergeCell ref="M284:M288"/>
    <mergeCell ref="L279:L283"/>
    <mergeCell ref="K264:K268"/>
    <mergeCell ref="L264:L268"/>
    <mergeCell ref="L274:L278"/>
    <mergeCell ref="L239:L243"/>
    <mergeCell ref="L259:L263"/>
    <mergeCell ref="M269:M273"/>
    <mergeCell ref="M254:M258"/>
    <mergeCell ref="M264:M268"/>
    <mergeCell ref="M44:M48"/>
    <mergeCell ref="M174:M178"/>
    <mergeCell ref="M179:M183"/>
    <mergeCell ref="M184:M188"/>
    <mergeCell ref="M189:M193"/>
    <mergeCell ref="K184:K188"/>
    <mergeCell ref="L184:L188"/>
    <mergeCell ref="M69:M73"/>
    <mergeCell ref="L69:L73"/>
    <mergeCell ref="K189:K193"/>
    <mergeCell ref="M159:M163"/>
    <mergeCell ref="M119:M123"/>
    <mergeCell ref="K119:K123"/>
    <mergeCell ref="M114:M118"/>
    <mergeCell ref="L114:L118"/>
    <mergeCell ref="L174:L178"/>
    <mergeCell ref="K174:K178"/>
    <mergeCell ref="K179:K183"/>
    <mergeCell ref="K144:K148"/>
    <mergeCell ref="L144:L148"/>
    <mergeCell ref="M144:M148"/>
    <mergeCell ref="L94:L98"/>
    <mergeCell ref="M129:M133"/>
    <mergeCell ref="M139:M143"/>
    <mergeCell ref="K209:K213"/>
    <mergeCell ref="L209:L213"/>
    <mergeCell ref="J219:J223"/>
    <mergeCell ref="K219:K223"/>
    <mergeCell ref="L219:L223"/>
    <mergeCell ref="H164:H168"/>
    <mergeCell ref="M244:M248"/>
    <mergeCell ref="A169:A173"/>
    <mergeCell ref="A199:A203"/>
    <mergeCell ref="A189:A193"/>
    <mergeCell ref="A194:A198"/>
    <mergeCell ref="A174:A178"/>
    <mergeCell ref="M199:M203"/>
    <mergeCell ref="L214:L218"/>
    <mergeCell ref="M209:M213"/>
    <mergeCell ref="M214:M218"/>
    <mergeCell ref="L199:L203"/>
    <mergeCell ref="B169:B173"/>
    <mergeCell ref="H169:H173"/>
    <mergeCell ref="A179:A183"/>
    <mergeCell ref="B179:B183"/>
    <mergeCell ref="B189:B193"/>
    <mergeCell ref="B214:B218"/>
    <mergeCell ref="B194:B198"/>
  </mergeCells>
  <pageMargins left="0.23622047244094491" right="0" top="0.74803149606299213" bottom="0.59055118110236227" header="0" footer="0"/>
  <pageSetup paperSize="8" scale="76" fitToHeight="0" orientation="landscape" r:id="rId1"/>
  <rowBreaks count="3" manualBreakCount="3">
    <brk id="23" max="16383" man="1"/>
    <brk id="113" max="16383" man="1"/>
    <brk id="2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K81"/>
  <sheetViews>
    <sheetView workbookViewId="0">
      <pane xSplit="6" ySplit="5" topLeftCell="G48" activePane="bottomRight" state="frozen"/>
      <selection pane="topRight" activeCell="G1" sqref="G1"/>
      <selection pane="bottomLeft" activeCell="A6" sqref="A6"/>
      <selection pane="bottomRight" activeCell="R60" sqref="R60"/>
    </sheetView>
  </sheetViews>
  <sheetFormatPr defaultColWidth="8.85546875" defaultRowHeight="15.75" outlineLevelRow="1"/>
  <cols>
    <col min="1" max="1" width="3.42578125" style="648" customWidth="1"/>
    <col min="2" max="2" width="19.42578125" style="648" customWidth="1"/>
    <col min="3" max="3" width="14.42578125" style="648" customWidth="1"/>
    <col min="4" max="4" width="12" style="648" customWidth="1"/>
    <col min="5" max="5" width="16.5703125" style="648" customWidth="1"/>
    <col min="6" max="6" width="12" style="663" customWidth="1"/>
    <col min="7" max="7" width="5.28515625" style="648" customWidth="1"/>
    <col min="8" max="8" width="11.140625" style="663" customWidth="1"/>
    <col min="9" max="9" width="12.85546875" style="663" customWidth="1"/>
    <col min="10" max="10" width="10.85546875" style="664" customWidth="1"/>
    <col min="11" max="11" width="11.28515625" style="663" customWidth="1"/>
    <col min="12" max="12" width="9.140625" style="663" customWidth="1"/>
    <col min="13" max="13" width="9.42578125" style="663" customWidth="1"/>
    <col min="14" max="14" width="10.28515625" style="670" customWidth="1"/>
    <col min="15" max="15" width="10.140625" style="648" customWidth="1"/>
    <col min="16" max="16" width="9.85546875" style="648" customWidth="1"/>
    <col min="17" max="17" width="55.5703125" style="731" customWidth="1"/>
    <col min="18" max="18" width="23.5703125" style="439" customWidth="1"/>
    <col min="19" max="20" width="10.140625" style="439" bestFit="1" customWidth="1"/>
    <col min="21" max="245" width="8.85546875" style="439"/>
    <col min="246" max="246" width="3.42578125" style="439" customWidth="1"/>
    <col min="247" max="247" width="19.42578125" style="439" customWidth="1"/>
    <col min="248" max="248" width="14.42578125" style="439" customWidth="1"/>
    <col min="249" max="249" width="9.42578125" style="439" customWidth="1"/>
    <col min="250" max="250" width="12.140625" style="439" customWidth="1"/>
    <col min="251" max="251" width="9.42578125" style="439" customWidth="1"/>
    <col min="252" max="252" width="5.28515625" style="439" customWidth="1"/>
    <col min="253" max="253" width="8.85546875" style="439" customWidth="1"/>
    <col min="254" max="254" width="9.42578125" style="439" customWidth="1"/>
    <col min="255" max="255" width="8.85546875" style="439" customWidth="1"/>
    <col min="256" max="256" width="9" style="439" customWidth="1"/>
    <col min="257" max="257" width="9.140625" style="439" customWidth="1"/>
    <col min="258" max="258" width="7.85546875" style="439" customWidth="1"/>
    <col min="259" max="259" width="10.28515625" style="439" customWidth="1"/>
    <col min="260" max="260" width="9.42578125" style="439" customWidth="1"/>
    <col min="261" max="261" width="8.85546875" style="439" customWidth="1"/>
    <col min="262" max="262" width="39.140625" style="439" customWidth="1"/>
    <col min="263" max="263" width="8.85546875" style="439"/>
    <col min="264" max="264" width="9" style="439" bestFit="1" customWidth="1"/>
    <col min="265" max="501" width="8.85546875" style="439"/>
    <col min="502" max="502" width="3.42578125" style="439" customWidth="1"/>
    <col min="503" max="503" width="19.42578125" style="439" customWidth="1"/>
    <col min="504" max="504" width="14.42578125" style="439" customWidth="1"/>
    <col min="505" max="505" width="9.42578125" style="439" customWidth="1"/>
    <col min="506" max="506" width="12.140625" style="439" customWidth="1"/>
    <col min="507" max="507" width="9.42578125" style="439" customWidth="1"/>
    <col min="508" max="508" width="5.28515625" style="439" customWidth="1"/>
    <col min="509" max="509" width="8.85546875" style="439" customWidth="1"/>
    <col min="510" max="510" width="9.42578125" style="439" customWidth="1"/>
    <col min="511" max="511" width="8.85546875" style="439" customWidth="1"/>
    <col min="512" max="512" width="9" style="439" customWidth="1"/>
    <col min="513" max="513" width="9.140625" style="439" customWidth="1"/>
    <col min="514" max="514" width="7.85546875" style="439" customWidth="1"/>
    <col min="515" max="515" width="10.28515625" style="439" customWidth="1"/>
    <col min="516" max="516" width="9.42578125" style="439" customWidth="1"/>
    <col min="517" max="517" width="8.85546875" style="439" customWidth="1"/>
    <col min="518" max="518" width="39.140625" style="439" customWidth="1"/>
    <col min="519" max="519" width="8.85546875" style="439"/>
    <col min="520" max="520" width="9" style="439" bestFit="1" customWidth="1"/>
    <col min="521" max="757" width="8.85546875" style="439"/>
    <col min="758" max="758" width="3.42578125" style="439" customWidth="1"/>
    <col min="759" max="759" width="19.42578125" style="439" customWidth="1"/>
    <col min="760" max="760" width="14.42578125" style="439" customWidth="1"/>
    <col min="761" max="761" width="9.42578125" style="439" customWidth="1"/>
    <col min="762" max="762" width="12.140625" style="439" customWidth="1"/>
    <col min="763" max="763" width="9.42578125" style="439" customWidth="1"/>
    <col min="764" max="764" width="5.28515625" style="439" customWidth="1"/>
    <col min="765" max="765" width="8.85546875" style="439" customWidth="1"/>
    <col min="766" max="766" width="9.42578125" style="439" customWidth="1"/>
    <col min="767" max="767" width="8.85546875" style="439" customWidth="1"/>
    <col min="768" max="768" width="9" style="439" customWidth="1"/>
    <col min="769" max="769" width="9.140625" style="439" customWidth="1"/>
    <col min="770" max="770" width="7.85546875" style="439" customWidth="1"/>
    <col min="771" max="771" width="10.28515625" style="439" customWidth="1"/>
    <col min="772" max="772" width="9.42578125" style="439" customWidth="1"/>
    <col min="773" max="773" width="8.85546875" style="439" customWidth="1"/>
    <col min="774" max="774" width="39.140625" style="439" customWidth="1"/>
    <col min="775" max="775" width="8.85546875" style="439"/>
    <col min="776" max="776" width="9" style="439" bestFit="1" customWidth="1"/>
    <col min="777" max="1013" width="8.85546875" style="439"/>
    <col min="1014" max="1014" width="3.42578125" style="439" customWidth="1"/>
    <col min="1015" max="1015" width="19.42578125" style="439" customWidth="1"/>
    <col min="1016" max="1016" width="14.42578125" style="439" customWidth="1"/>
    <col min="1017" max="1017" width="9.42578125" style="439" customWidth="1"/>
    <col min="1018" max="1018" width="12.140625" style="439" customWidth="1"/>
    <col min="1019" max="1019" width="9.42578125" style="439" customWidth="1"/>
    <col min="1020" max="1020" width="5.28515625" style="439" customWidth="1"/>
    <col min="1021" max="1021" width="8.85546875" style="439" customWidth="1"/>
    <col min="1022" max="1022" width="9.42578125" style="439" customWidth="1"/>
    <col min="1023" max="1023" width="8.85546875" style="439" customWidth="1"/>
    <col min="1024" max="1024" width="9" style="439" customWidth="1"/>
    <col min="1025" max="1025" width="9.140625" style="439" customWidth="1"/>
    <col min="1026" max="1026" width="7.85546875" style="439" customWidth="1"/>
    <col min="1027" max="1027" width="10.28515625" style="439" customWidth="1"/>
    <col min="1028" max="1028" width="9.42578125" style="439" customWidth="1"/>
    <col min="1029" max="1029" width="8.85546875" style="439" customWidth="1"/>
    <col min="1030" max="1030" width="39.140625" style="439" customWidth="1"/>
    <col min="1031" max="1031" width="8.85546875" style="439"/>
    <col min="1032" max="1032" width="9" style="439" bestFit="1" customWidth="1"/>
    <col min="1033" max="1269" width="8.85546875" style="439"/>
    <col min="1270" max="1270" width="3.42578125" style="439" customWidth="1"/>
    <col min="1271" max="1271" width="19.42578125" style="439" customWidth="1"/>
    <col min="1272" max="1272" width="14.42578125" style="439" customWidth="1"/>
    <col min="1273" max="1273" width="9.42578125" style="439" customWidth="1"/>
    <col min="1274" max="1274" width="12.140625" style="439" customWidth="1"/>
    <col min="1275" max="1275" width="9.42578125" style="439" customWidth="1"/>
    <col min="1276" max="1276" width="5.28515625" style="439" customWidth="1"/>
    <col min="1277" max="1277" width="8.85546875" style="439" customWidth="1"/>
    <col min="1278" max="1278" width="9.42578125" style="439" customWidth="1"/>
    <col min="1279" max="1279" width="8.85546875" style="439" customWidth="1"/>
    <col min="1280" max="1280" width="9" style="439" customWidth="1"/>
    <col min="1281" max="1281" width="9.140625" style="439" customWidth="1"/>
    <col min="1282" max="1282" width="7.85546875" style="439" customWidth="1"/>
    <col min="1283" max="1283" width="10.28515625" style="439" customWidth="1"/>
    <col min="1284" max="1284" width="9.42578125" style="439" customWidth="1"/>
    <col min="1285" max="1285" width="8.85546875" style="439" customWidth="1"/>
    <col min="1286" max="1286" width="39.140625" style="439" customWidth="1"/>
    <col min="1287" max="1287" width="8.85546875" style="439"/>
    <col min="1288" max="1288" width="9" style="439" bestFit="1" customWidth="1"/>
    <col min="1289" max="1525" width="8.85546875" style="439"/>
    <col min="1526" max="1526" width="3.42578125" style="439" customWidth="1"/>
    <col min="1527" max="1527" width="19.42578125" style="439" customWidth="1"/>
    <col min="1528" max="1528" width="14.42578125" style="439" customWidth="1"/>
    <col min="1529" max="1529" width="9.42578125" style="439" customWidth="1"/>
    <col min="1530" max="1530" width="12.140625" style="439" customWidth="1"/>
    <col min="1531" max="1531" width="9.42578125" style="439" customWidth="1"/>
    <col min="1532" max="1532" width="5.28515625" style="439" customWidth="1"/>
    <col min="1533" max="1533" width="8.85546875" style="439" customWidth="1"/>
    <col min="1534" max="1534" width="9.42578125" style="439" customWidth="1"/>
    <col min="1535" max="1535" width="8.85546875" style="439" customWidth="1"/>
    <col min="1536" max="1536" width="9" style="439" customWidth="1"/>
    <col min="1537" max="1537" width="9.140625" style="439" customWidth="1"/>
    <col min="1538" max="1538" width="7.85546875" style="439" customWidth="1"/>
    <col min="1539" max="1539" width="10.28515625" style="439" customWidth="1"/>
    <col min="1540" max="1540" width="9.42578125" style="439" customWidth="1"/>
    <col min="1541" max="1541" width="8.85546875" style="439" customWidth="1"/>
    <col min="1542" max="1542" width="39.140625" style="439" customWidth="1"/>
    <col min="1543" max="1543" width="8.85546875" style="439"/>
    <col min="1544" max="1544" width="9" style="439" bestFit="1" customWidth="1"/>
    <col min="1545" max="1781" width="8.85546875" style="439"/>
    <col min="1782" max="1782" width="3.42578125" style="439" customWidth="1"/>
    <col min="1783" max="1783" width="19.42578125" style="439" customWidth="1"/>
    <col min="1784" max="1784" width="14.42578125" style="439" customWidth="1"/>
    <col min="1785" max="1785" width="9.42578125" style="439" customWidth="1"/>
    <col min="1786" max="1786" width="12.140625" style="439" customWidth="1"/>
    <col min="1787" max="1787" width="9.42578125" style="439" customWidth="1"/>
    <col min="1788" max="1788" width="5.28515625" style="439" customWidth="1"/>
    <col min="1789" max="1789" width="8.85546875" style="439" customWidth="1"/>
    <col min="1790" max="1790" width="9.42578125" style="439" customWidth="1"/>
    <col min="1791" max="1791" width="8.85546875" style="439" customWidth="1"/>
    <col min="1792" max="1792" width="9" style="439" customWidth="1"/>
    <col min="1793" max="1793" width="9.140625" style="439" customWidth="1"/>
    <col min="1794" max="1794" width="7.85546875" style="439" customWidth="1"/>
    <col min="1795" max="1795" width="10.28515625" style="439" customWidth="1"/>
    <col min="1796" max="1796" width="9.42578125" style="439" customWidth="1"/>
    <col min="1797" max="1797" width="8.85546875" style="439" customWidth="1"/>
    <col min="1798" max="1798" width="39.140625" style="439" customWidth="1"/>
    <col min="1799" max="1799" width="8.85546875" style="439"/>
    <col min="1800" max="1800" width="9" style="439" bestFit="1" customWidth="1"/>
    <col min="1801" max="2037" width="8.85546875" style="439"/>
    <col min="2038" max="2038" width="3.42578125" style="439" customWidth="1"/>
    <col min="2039" max="2039" width="19.42578125" style="439" customWidth="1"/>
    <col min="2040" max="2040" width="14.42578125" style="439" customWidth="1"/>
    <col min="2041" max="2041" width="9.42578125" style="439" customWidth="1"/>
    <col min="2042" max="2042" width="12.140625" style="439" customWidth="1"/>
    <col min="2043" max="2043" width="9.42578125" style="439" customWidth="1"/>
    <col min="2044" max="2044" width="5.28515625" style="439" customWidth="1"/>
    <col min="2045" max="2045" width="8.85546875" style="439" customWidth="1"/>
    <col min="2046" max="2046" width="9.42578125" style="439" customWidth="1"/>
    <col min="2047" max="2047" width="8.85546875" style="439" customWidth="1"/>
    <col min="2048" max="2048" width="9" style="439" customWidth="1"/>
    <col min="2049" max="2049" width="9.140625" style="439" customWidth="1"/>
    <col min="2050" max="2050" width="7.85546875" style="439" customWidth="1"/>
    <col min="2051" max="2051" width="10.28515625" style="439" customWidth="1"/>
    <col min="2052" max="2052" width="9.42578125" style="439" customWidth="1"/>
    <col min="2053" max="2053" width="8.85546875" style="439" customWidth="1"/>
    <col min="2054" max="2054" width="39.140625" style="439" customWidth="1"/>
    <col min="2055" max="2055" width="8.85546875" style="439"/>
    <col min="2056" max="2056" width="9" style="439" bestFit="1" customWidth="1"/>
    <col min="2057" max="2293" width="8.85546875" style="439"/>
    <col min="2294" max="2294" width="3.42578125" style="439" customWidth="1"/>
    <col min="2295" max="2295" width="19.42578125" style="439" customWidth="1"/>
    <col min="2296" max="2296" width="14.42578125" style="439" customWidth="1"/>
    <col min="2297" max="2297" width="9.42578125" style="439" customWidth="1"/>
    <col min="2298" max="2298" width="12.140625" style="439" customWidth="1"/>
    <col min="2299" max="2299" width="9.42578125" style="439" customWidth="1"/>
    <col min="2300" max="2300" width="5.28515625" style="439" customWidth="1"/>
    <col min="2301" max="2301" width="8.85546875" style="439" customWidth="1"/>
    <col min="2302" max="2302" width="9.42578125" style="439" customWidth="1"/>
    <col min="2303" max="2303" width="8.85546875" style="439" customWidth="1"/>
    <col min="2304" max="2304" width="9" style="439" customWidth="1"/>
    <col min="2305" max="2305" width="9.140625" style="439" customWidth="1"/>
    <col min="2306" max="2306" width="7.85546875" style="439" customWidth="1"/>
    <col min="2307" max="2307" width="10.28515625" style="439" customWidth="1"/>
    <col min="2308" max="2308" width="9.42578125" style="439" customWidth="1"/>
    <col min="2309" max="2309" width="8.85546875" style="439" customWidth="1"/>
    <col min="2310" max="2310" width="39.140625" style="439" customWidth="1"/>
    <col min="2311" max="2311" width="8.85546875" style="439"/>
    <col min="2312" max="2312" width="9" style="439" bestFit="1" customWidth="1"/>
    <col min="2313" max="2549" width="8.85546875" style="439"/>
    <col min="2550" max="2550" width="3.42578125" style="439" customWidth="1"/>
    <col min="2551" max="2551" width="19.42578125" style="439" customWidth="1"/>
    <col min="2552" max="2552" width="14.42578125" style="439" customWidth="1"/>
    <col min="2553" max="2553" width="9.42578125" style="439" customWidth="1"/>
    <col min="2554" max="2554" width="12.140625" style="439" customWidth="1"/>
    <col min="2555" max="2555" width="9.42578125" style="439" customWidth="1"/>
    <col min="2556" max="2556" width="5.28515625" style="439" customWidth="1"/>
    <col min="2557" max="2557" width="8.85546875" style="439" customWidth="1"/>
    <col min="2558" max="2558" width="9.42578125" style="439" customWidth="1"/>
    <col min="2559" max="2559" width="8.85546875" style="439" customWidth="1"/>
    <col min="2560" max="2560" width="9" style="439" customWidth="1"/>
    <col min="2561" max="2561" width="9.140625" style="439" customWidth="1"/>
    <col min="2562" max="2562" width="7.85546875" style="439" customWidth="1"/>
    <col min="2563" max="2563" width="10.28515625" style="439" customWidth="1"/>
    <col min="2564" max="2564" width="9.42578125" style="439" customWidth="1"/>
    <col min="2565" max="2565" width="8.85546875" style="439" customWidth="1"/>
    <col min="2566" max="2566" width="39.140625" style="439" customWidth="1"/>
    <col min="2567" max="2567" width="8.85546875" style="439"/>
    <col min="2568" max="2568" width="9" style="439" bestFit="1" customWidth="1"/>
    <col min="2569" max="2805" width="8.85546875" style="439"/>
    <col min="2806" max="2806" width="3.42578125" style="439" customWidth="1"/>
    <col min="2807" max="2807" width="19.42578125" style="439" customWidth="1"/>
    <col min="2808" max="2808" width="14.42578125" style="439" customWidth="1"/>
    <col min="2809" max="2809" width="9.42578125" style="439" customWidth="1"/>
    <col min="2810" max="2810" width="12.140625" style="439" customWidth="1"/>
    <col min="2811" max="2811" width="9.42578125" style="439" customWidth="1"/>
    <col min="2812" max="2812" width="5.28515625" style="439" customWidth="1"/>
    <col min="2813" max="2813" width="8.85546875" style="439" customWidth="1"/>
    <col min="2814" max="2814" width="9.42578125" style="439" customWidth="1"/>
    <col min="2815" max="2815" width="8.85546875" style="439" customWidth="1"/>
    <col min="2816" max="2816" width="9" style="439" customWidth="1"/>
    <col min="2817" max="2817" width="9.140625" style="439" customWidth="1"/>
    <col min="2818" max="2818" width="7.85546875" style="439" customWidth="1"/>
    <col min="2819" max="2819" width="10.28515625" style="439" customWidth="1"/>
    <col min="2820" max="2820" width="9.42578125" style="439" customWidth="1"/>
    <col min="2821" max="2821" width="8.85546875" style="439" customWidth="1"/>
    <col min="2822" max="2822" width="39.140625" style="439" customWidth="1"/>
    <col min="2823" max="2823" width="8.85546875" style="439"/>
    <col min="2824" max="2824" width="9" style="439" bestFit="1" customWidth="1"/>
    <col min="2825" max="3061" width="8.85546875" style="439"/>
    <col min="3062" max="3062" width="3.42578125" style="439" customWidth="1"/>
    <col min="3063" max="3063" width="19.42578125" style="439" customWidth="1"/>
    <col min="3064" max="3064" width="14.42578125" style="439" customWidth="1"/>
    <col min="3065" max="3065" width="9.42578125" style="439" customWidth="1"/>
    <col min="3066" max="3066" width="12.140625" style="439" customWidth="1"/>
    <col min="3067" max="3067" width="9.42578125" style="439" customWidth="1"/>
    <col min="3068" max="3068" width="5.28515625" style="439" customWidth="1"/>
    <col min="3069" max="3069" width="8.85546875" style="439" customWidth="1"/>
    <col min="3070" max="3070" width="9.42578125" style="439" customWidth="1"/>
    <col min="3071" max="3071" width="8.85546875" style="439" customWidth="1"/>
    <col min="3072" max="3072" width="9" style="439" customWidth="1"/>
    <col min="3073" max="3073" width="9.140625" style="439" customWidth="1"/>
    <col min="3074" max="3074" width="7.85546875" style="439" customWidth="1"/>
    <col min="3075" max="3075" width="10.28515625" style="439" customWidth="1"/>
    <col min="3076" max="3076" width="9.42578125" style="439" customWidth="1"/>
    <col min="3077" max="3077" width="8.85546875" style="439" customWidth="1"/>
    <col min="3078" max="3078" width="39.140625" style="439" customWidth="1"/>
    <col min="3079" max="3079" width="8.85546875" style="439"/>
    <col min="3080" max="3080" width="9" style="439" bestFit="1" customWidth="1"/>
    <col min="3081" max="3317" width="8.85546875" style="439"/>
    <col min="3318" max="3318" width="3.42578125" style="439" customWidth="1"/>
    <col min="3319" max="3319" width="19.42578125" style="439" customWidth="1"/>
    <col min="3320" max="3320" width="14.42578125" style="439" customWidth="1"/>
    <col min="3321" max="3321" width="9.42578125" style="439" customWidth="1"/>
    <col min="3322" max="3322" width="12.140625" style="439" customWidth="1"/>
    <col min="3323" max="3323" width="9.42578125" style="439" customWidth="1"/>
    <col min="3324" max="3324" width="5.28515625" style="439" customWidth="1"/>
    <col min="3325" max="3325" width="8.85546875" style="439" customWidth="1"/>
    <col min="3326" max="3326" width="9.42578125" style="439" customWidth="1"/>
    <col min="3327" max="3327" width="8.85546875" style="439" customWidth="1"/>
    <col min="3328" max="3328" width="9" style="439" customWidth="1"/>
    <col min="3329" max="3329" width="9.140625" style="439" customWidth="1"/>
    <col min="3330" max="3330" width="7.85546875" style="439" customWidth="1"/>
    <col min="3331" max="3331" width="10.28515625" style="439" customWidth="1"/>
    <col min="3332" max="3332" width="9.42578125" style="439" customWidth="1"/>
    <col min="3333" max="3333" width="8.85546875" style="439" customWidth="1"/>
    <col min="3334" max="3334" width="39.140625" style="439" customWidth="1"/>
    <col min="3335" max="3335" width="8.85546875" style="439"/>
    <col min="3336" max="3336" width="9" style="439" bestFit="1" customWidth="1"/>
    <col min="3337" max="3573" width="8.85546875" style="439"/>
    <col min="3574" max="3574" width="3.42578125" style="439" customWidth="1"/>
    <col min="3575" max="3575" width="19.42578125" style="439" customWidth="1"/>
    <col min="3576" max="3576" width="14.42578125" style="439" customWidth="1"/>
    <col min="3577" max="3577" width="9.42578125" style="439" customWidth="1"/>
    <col min="3578" max="3578" width="12.140625" style="439" customWidth="1"/>
    <col min="3579" max="3579" width="9.42578125" style="439" customWidth="1"/>
    <col min="3580" max="3580" width="5.28515625" style="439" customWidth="1"/>
    <col min="3581" max="3581" width="8.85546875" style="439" customWidth="1"/>
    <col min="3582" max="3582" width="9.42578125" style="439" customWidth="1"/>
    <col min="3583" max="3583" width="8.85546875" style="439" customWidth="1"/>
    <col min="3584" max="3584" width="9" style="439" customWidth="1"/>
    <col min="3585" max="3585" width="9.140625" style="439" customWidth="1"/>
    <col min="3586" max="3586" width="7.85546875" style="439" customWidth="1"/>
    <col min="3587" max="3587" width="10.28515625" style="439" customWidth="1"/>
    <col min="3588" max="3588" width="9.42578125" style="439" customWidth="1"/>
    <col min="3589" max="3589" width="8.85546875" style="439" customWidth="1"/>
    <col min="3590" max="3590" width="39.140625" style="439" customWidth="1"/>
    <col min="3591" max="3591" width="8.85546875" style="439"/>
    <col min="3592" max="3592" width="9" style="439" bestFit="1" customWidth="1"/>
    <col min="3593" max="3829" width="8.85546875" style="439"/>
    <col min="3830" max="3830" width="3.42578125" style="439" customWidth="1"/>
    <col min="3831" max="3831" width="19.42578125" style="439" customWidth="1"/>
    <col min="3832" max="3832" width="14.42578125" style="439" customWidth="1"/>
    <col min="3833" max="3833" width="9.42578125" style="439" customWidth="1"/>
    <col min="3834" max="3834" width="12.140625" style="439" customWidth="1"/>
    <col min="3835" max="3835" width="9.42578125" style="439" customWidth="1"/>
    <col min="3836" max="3836" width="5.28515625" style="439" customWidth="1"/>
    <col min="3837" max="3837" width="8.85546875" style="439" customWidth="1"/>
    <col min="3838" max="3838" width="9.42578125" style="439" customWidth="1"/>
    <col min="3839" max="3839" width="8.85546875" style="439" customWidth="1"/>
    <col min="3840" max="3840" width="9" style="439" customWidth="1"/>
    <col min="3841" max="3841" width="9.140625" style="439" customWidth="1"/>
    <col min="3842" max="3842" width="7.85546875" style="439" customWidth="1"/>
    <col min="3843" max="3843" width="10.28515625" style="439" customWidth="1"/>
    <col min="3844" max="3844" width="9.42578125" style="439" customWidth="1"/>
    <col min="3845" max="3845" width="8.85546875" style="439" customWidth="1"/>
    <col min="3846" max="3846" width="39.140625" style="439" customWidth="1"/>
    <col min="3847" max="3847" width="8.85546875" style="439"/>
    <col min="3848" max="3848" width="9" style="439" bestFit="1" customWidth="1"/>
    <col min="3849" max="4085" width="8.85546875" style="439"/>
    <col min="4086" max="4086" width="3.42578125" style="439" customWidth="1"/>
    <col min="4087" max="4087" width="19.42578125" style="439" customWidth="1"/>
    <col min="4088" max="4088" width="14.42578125" style="439" customWidth="1"/>
    <col min="4089" max="4089" width="9.42578125" style="439" customWidth="1"/>
    <col min="4090" max="4090" width="12.140625" style="439" customWidth="1"/>
    <col min="4091" max="4091" width="9.42578125" style="439" customWidth="1"/>
    <col min="4092" max="4092" width="5.28515625" style="439" customWidth="1"/>
    <col min="4093" max="4093" width="8.85546875" style="439" customWidth="1"/>
    <col min="4094" max="4094" width="9.42578125" style="439" customWidth="1"/>
    <col min="4095" max="4095" width="8.85546875" style="439" customWidth="1"/>
    <col min="4096" max="4096" width="9" style="439" customWidth="1"/>
    <col min="4097" max="4097" width="9.140625" style="439" customWidth="1"/>
    <col min="4098" max="4098" width="7.85546875" style="439" customWidth="1"/>
    <col min="4099" max="4099" width="10.28515625" style="439" customWidth="1"/>
    <col min="4100" max="4100" width="9.42578125" style="439" customWidth="1"/>
    <col min="4101" max="4101" width="8.85546875" style="439" customWidth="1"/>
    <col min="4102" max="4102" width="39.140625" style="439" customWidth="1"/>
    <col min="4103" max="4103" width="8.85546875" style="439"/>
    <col min="4104" max="4104" width="9" style="439" bestFit="1" customWidth="1"/>
    <col min="4105" max="4341" width="8.85546875" style="439"/>
    <col min="4342" max="4342" width="3.42578125" style="439" customWidth="1"/>
    <col min="4343" max="4343" width="19.42578125" style="439" customWidth="1"/>
    <col min="4344" max="4344" width="14.42578125" style="439" customWidth="1"/>
    <col min="4345" max="4345" width="9.42578125" style="439" customWidth="1"/>
    <col min="4346" max="4346" width="12.140625" style="439" customWidth="1"/>
    <col min="4347" max="4347" width="9.42578125" style="439" customWidth="1"/>
    <col min="4348" max="4348" width="5.28515625" style="439" customWidth="1"/>
    <col min="4349" max="4349" width="8.85546875" style="439" customWidth="1"/>
    <col min="4350" max="4350" width="9.42578125" style="439" customWidth="1"/>
    <col min="4351" max="4351" width="8.85546875" style="439" customWidth="1"/>
    <col min="4352" max="4352" width="9" style="439" customWidth="1"/>
    <col min="4353" max="4353" width="9.140625" style="439" customWidth="1"/>
    <col min="4354" max="4354" width="7.85546875" style="439" customWidth="1"/>
    <col min="4355" max="4355" width="10.28515625" style="439" customWidth="1"/>
    <col min="4356" max="4356" width="9.42578125" style="439" customWidth="1"/>
    <col min="4357" max="4357" width="8.85546875" style="439" customWidth="1"/>
    <col min="4358" max="4358" width="39.140625" style="439" customWidth="1"/>
    <col min="4359" max="4359" width="8.85546875" style="439"/>
    <col min="4360" max="4360" width="9" style="439" bestFit="1" customWidth="1"/>
    <col min="4361" max="4597" width="8.85546875" style="439"/>
    <col min="4598" max="4598" width="3.42578125" style="439" customWidth="1"/>
    <col min="4599" max="4599" width="19.42578125" style="439" customWidth="1"/>
    <col min="4600" max="4600" width="14.42578125" style="439" customWidth="1"/>
    <col min="4601" max="4601" width="9.42578125" style="439" customWidth="1"/>
    <col min="4602" max="4602" width="12.140625" style="439" customWidth="1"/>
    <col min="4603" max="4603" width="9.42578125" style="439" customWidth="1"/>
    <col min="4604" max="4604" width="5.28515625" style="439" customWidth="1"/>
    <col min="4605" max="4605" width="8.85546875" style="439" customWidth="1"/>
    <col min="4606" max="4606" width="9.42578125" style="439" customWidth="1"/>
    <col min="4607" max="4607" width="8.85546875" style="439" customWidth="1"/>
    <col min="4608" max="4608" width="9" style="439" customWidth="1"/>
    <col min="4609" max="4609" width="9.140625" style="439" customWidth="1"/>
    <col min="4610" max="4610" width="7.85546875" style="439" customWidth="1"/>
    <col min="4611" max="4611" width="10.28515625" style="439" customWidth="1"/>
    <col min="4612" max="4612" width="9.42578125" style="439" customWidth="1"/>
    <col min="4613" max="4613" width="8.85546875" style="439" customWidth="1"/>
    <col min="4614" max="4614" width="39.140625" style="439" customWidth="1"/>
    <col min="4615" max="4615" width="8.85546875" style="439"/>
    <col min="4616" max="4616" width="9" style="439" bestFit="1" customWidth="1"/>
    <col min="4617" max="4853" width="8.85546875" style="439"/>
    <col min="4854" max="4854" width="3.42578125" style="439" customWidth="1"/>
    <col min="4855" max="4855" width="19.42578125" style="439" customWidth="1"/>
    <col min="4856" max="4856" width="14.42578125" style="439" customWidth="1"/>
    <col min="4857" max="4857" width="9.42578125" style="439" customWidth="1"/>
    <col min="4858" max="4858" width="12.140625" style="439" customWidth="1"/>
    <col min="4859" max="4859" width="9.42578125" style="439" customWidth="1"/>
    <col min="4860" max="4860" width="5.28515625" style="439" customWidth="1"/>
    <col min="4861" max="4861" width="8.85546875" style="439" customWidth="1"/>
    <col min="4862" max="4862" width="9.42578125" style="439" customWidth="1"/>
    <col min="4863" max="4863" width="8.85546875" style="439" customWidth="1"/>
    <col min="4864" max="4864" width="9" style="439" customWidth="1"/>
    <col min="4865" max="4865" width="9.140625" style="439" customWidth="1"/>
    <col min="4866" max="4866" width="7.85546875" style="439" customWidth="1"/>
    <col min="4867" max="4867" width="10.28515625" style="439" customWidth="1"/>
    <col min="4868" max="4868" width="9.42578125" style="439" customWidth="1"/>
    <col min="4869" max="4869" width="8.85546875" style="439" customWidth="1"/>
    <col min="4870" max="4870" width="39.140625" style="439" customWidth="1"/>
    <col min="4871" max="4871" width="8.85546875" style="439"/>
    <col min="4872" max="4872" width="9" style="439" bestFit="1" customWidth="1"/>
    <col min="4873" max="5109" width="8.85546875" style="439"/>
    <col min="5110" max="5110" width="3.42578125" style="439" customWidth="1"/>
    <col min="5111" max="5111" width="19.42578125" style="439" customWidth="1"/>
    <col min="5112" max="5112" width="14.42578125" style="439" customWidth="1"/>
    <col min="5113" max="5113" width="9.42578125" style="439" customWidth="1"/>
    <col min="5114" max="5114" width="12.140625" style="439" customWidth="1"/>
    <col min="5115" max="5115" width="9.42578125" style="439" customWidth="1"/>
    <col min="5116" max="5116" width="5.28515625" style="439" customWidth="1"/>
    <col min="5117" max="5117" width="8.85546875" style="439" customWidth="1"/>
    <col min="5118" max="5118" width="9.42578125" style="439" customWidth="1"/>
    <col min="5119" max="5119" width="8.85546875" style="439" customWidth="1"/>
    <col min="5120" max="5120" width="9" style="439" customWidth="1"/>
    <col min="5121" max="5121" width="9.140625" style="439" customWidth="1"/>
    <col min="5122" max="5122" width="7.85546875" style="439" customWidth="1"/>
    <col min="5123" max="5123" width="10.28515625" style="439" customWidth="1"/>
    <col min="5124" max="5124" width="9.42578125" style="439" customWidth="1"/>
    <col min="5125" max="5125" width="8.85546875" style="439" customWidth="1"/>
    <col min="5126" max="5126" width="39.140625" style="439" customWidth="1"/>
    <col min="5127" max="5127" width="8.85546875" style="439"/>
    <col min="5128" max="5128" width="9" style="439" bestFit="1" customWidth="1"/>
    <col min="5129" max="5365" width="8.85546875" style="439"/>
    <col min="5366" max="5366" width="3.42578125" style="439" customWidth="1"/>
    <col min="5367" max="5367" width="19.42578125" style="439" customWidth="1"/>
    <col min="5368" max="5368" width="14.42578125" style="439" customWidth="1"/>
    <col min="5369" max="5369" width="9.42578125" style="439" customWidth="1"/>
    <col min="5370" max="5370" width="12.140625" style="439" customWidth="1"/>
    <col min="5371" max="5371" width="9.42578125" style="439" customWidth="1"/>
    <col min="5372" max="5372" width="5.28515625" style="439" customWidth="1"/>
    <col min="5373" max="5373" width="8.85546875" style="439" customWidth="1"/>
    <col min="5374" max="5374" width="9.42578125" style="439" customWidth="1"/>
    <col min="5375" max="5375" width="8.85546875" style="439" customWidth="1"/>
    <col min="5376" max="5376" width="9" style="439" customWidth="1"/>
    <col min="5377" max="5377" width="9.140625" style="439" customWidth="1"/>
    <col min="5378" max="5378" width="7.85546875" style="439" customWidth="1"/>
    <col min="5379" max="5379" width="10.28515625" style="439" customWidth="1"/>
    <col min="5380" max="5380" width="9.42578125" style="439" customWidth="1"/>
    <col min="5381" max="5381" width="8.85546875" style="439" customWidth="1"/>
    <col min="5382" max="5382" width="39.140625" style="439" customWidth="1"/>
    <col min="5383" max="5383" width="8.85546875" style="439"/>
    <col min="5384" max="5384" width="9" style="439" bestFit="1" customWidth="1"/>
    <col min="5385" max="5621" width="8.85546875" style="439"/>
    <col min="5622" max="5622" width="3.42578125" style="439" customWidth="1"/>
    <col min="5623" max="5623" width="19.42578125" style="439" customWidth="1"/>
    <col min="5624" max="5624" width="14.42578125" style="439" customWidth="1"/>
    <col min="5625" max="5625" width="9.42578125" style="439" customWidth="1"/>
    <col min="5626" max="5626" width="12.140625" style="439" customWidth="1"/>
    <col min="5627" max="5627" width="9.42578125" style="439" customWidth="1"/>
    <col min="5628" max="5628" width="5.28515625" style="439" customWidth="1"/>
    <col min="5629" max="5629" width="8.85546875" style="439" customWidth="1"/>
    <col min="5630" max="5630" width="9.42578125" style="439" customWidth="1"/>
    <col min="5631" max="5631" width="8.85546875" style="439" customWidth="1"/>
    <col min="5632" max="5632" width="9" style="439" customWidth="1"/>
    <col min="5633" max="5633" width="9.140625" style="439" customWidth="1"/>
    <col min="5634" max="5634" width="7.85546875" style="439" customWidth="1"/>
    <col min="5635" max="5635" width="10.28515625" style="439" customWidth="1"/>
    <col min="5636" max="5636" width="9.42578125" style="439" customWidth="1"/>
    <col min="5637" max="5637" width="8.85546875" style="439" customWidth="1"/>
    <col min="5638" max="5638" width="39.140625" style="439" customWidth="1"/>
    <col min="5639" max="5639" width="8.85546875" style="439"/>
    <col min="5640" max="5640" width="9" style="439" bestFit="1" customWidth="1"/>
    <col min="5641" max="5877" width="8.85546875" style="439"/>
    <col min="5878" max="5878" width="3.42578125" style="439" customWidth="1"/>
    <col min="5879" max="5879" width="19.42578125" style="439" customWidth="1"/>
    <col min="5880" max="5880" width="14.42578125" style="439" customWidth="1"/>
    <col min="5881" max="5881" width="9.42578125" style="439" customWidth="1"/>
    <col min="5882" max="5882" width="12.140625" style="439" customWidth="1"/>
    <col min="5883" max="5883" width="9.42578125" style="439" customWidth="1"/>
    <col min="5884" max="5884" width="5.28515625" style="439" customWidth="1"/>
    <col min="5885" max="5885" width="8.85546875" style="439" customWidth="1"/>
    <col min="5886" max="5886" width="9.42578125" style="439" customWidth="1"/>
    <col min="5887" max="5887" width="8.85546875" style="439" customWidth="1"/>
    <col min="5888" max="5888" width="9" style="439" customWidth="1"/>
    <col min="5889" max="5889" width="9.140625" style="439" customWidth="1"/>
    <col min="5890" max="5890" width="7.85546875" style="439" customWidth="1"/>
    <col min="5891" max="5891" width="10.28515625" style="439" customWidth="1"/>
    <col min="5892" max="5892" width="9.42578125" style="439" customWidth="1"/>
    <col min="5893" max="5893" width="8.85546875" style="439" customWidth="1"/>
    <col min="5894" max="5894" width="39.140625" style="439" customWidth="1"/>
    <col min="5895" max="5895" width="8.85546875" style="439"/>
    <col min="5896" max="5896" width="9" style="439" bestFit="1" customWidth="1"/>
    <col min="5897" max="6133" width="8.85546875" style="439"/>
    <col min="6134" max="6134" width="3.42578125" style="439" customWidth="1"/>
    <col min="6135" max="6135" width="19.42578125" style="439" customWidth="1"/>
    <col min="6136" max="6136" width="14.42578125" style="439" customWidth="1"/>
    <col min="6137" max="6137" width="9.42578125" style="439" customWidth="1"/>
    <col min="6138" max="6138" width="12.140625" style="439" customWidth="1"/>
    <col min="6139" max="6139" width="9.42578125" style="439" customWidth="1"/>
    <col min="6140" max="6140" width="5.28515625" style="439" customWidth="1"/>
    <col min="6141" max="6141" width="8.85546875" style="439" customWidth="1"/>
    <col min="6142" max="6142" width="9.42578125" style="439" customWidth="1"/>
    <col min="6143" max="6143" width="8.85546875" style="439" customWidth="1"/>
    <col min="6144" max="6144" width="9" style="439" customWidth="1"/>
    <col min="6145" max="6145" width="9.140625" style="439" customWidth="1"/>
    <col min="6146" max="6146" width="7.85546875" style="439" customWidth="1"/>
    <col min="6147" max="6147" width="10.28515625" style="439" customWidth="1"/>
    <col min="6148" max="6148" width="9.42578125" style="439" customWidth="1"/>
    <col min="6149" max="6149" width="8.85546875" style="439" customWidth="1"/>
    <col min="6150" max="6150" width="39.140625" style="439" customWidth="1"/>
    <col min="6151" max="6151" width="8.85546875" style="439"/>
    <col min="6152" max="6152" width="9" style="439" bestFit="1" customWidth="1"/>
    <col min="6153" max="6389" width="8.85546875" style="439"/>
    <col min="6390" max="6390" width="3.42578125" style="439" customWidth="1"/>
    <col min="6391" max="6391" width="19.42578125" style="439" customWidth="1"/>
    <col min="6392" max="6392" width="14.42578125" style="439" customWidth="1"/>
    <col min="6393" max="6393" width="9.42578125" style="439" customWidth="1"/>
    <col min="6394" max="6394" width="12.140625" style="439" customWidth="1"/>
    <col min="6395" max="6395" width="9.42578125" style="439" customWidth="1"/>
    <col min="6396" max="6396" width="5.28515625" style="439" customWidth="1"/>
    <col min="6397" max="6397" width="8.85546875" style="439" customWidth="1"/>
    <col min="6398" max="6398" width="9.42578125" style="439" customWidth="1"/>
    <col min="6399" max="6399" width="8.85546875" style="439" customWidth="1"/>
    <col min="6400" max="6400" width="9" style="439" customWidth="1"/>
    <col min="6401" max="6401" width="9.140625" style="439" customWidth="1"/>
    <col min="6402" max="6402" width="7.85546875" style="439" customWidth="1"/>
    <col min="6403" max="6403" width="10.28515625" style="439" customWidth="1"/>
    <col min="6404" max="6404" width="9.42578125" style="439" customWidth="1"/>
    <col min="6405" max="6405" width="8.85546875" style="439" customWidth="1"/>
    <col min="6406" max="6406" width="39.140625" style="439" customWidth="1"/>
    <col min="6407" max="6407" width="8.85546875" style="439"/>
    <col min="6408" max="6408" width="9" style="439" bestFit="1" customWidth="1"/>
    <col min="6409" max="6645" width="8.85546875" style="439"/>
    <col min="6646" max="6646" width="3.42578125" style="439" customWidth="1"/>
    <col min="6647" max="6647" width="19.42578125" style="439" customWidth="1"/>
    <col min="6648" max="6648" width="14.42578125" style="439" customWidth="1"/>
    <col min="6649" max="6649" width="9.42578125" style="439" customWidth="1"/>
    <col min="6650" max="6650" width="12.140625" style="439" customWidth="1"/>
    <col min="6651" max="6651" width="9.42578125" style="439" customWidth="1"/>
    <col min="6652" max="6652" width="5.28515625" style="439" customWidth="1"/>
    <col min="6653" max="6653" width="8.85546875" style="439" customWidth="1"/>
    <col min="6654" max="6654" width="9.42578125" style="439" customWidth="1"/>
    <col min="6655" max="6655" width="8.85546875" style="439" customWidth="1"/>
    <col min="6656" max="6656" width="9" style="439" customWidth="1"/>
    <col min="6657" max="6657" width="9.140625" style="439" customWidth="1"/>
    <col min="6658" max="6658" width="7.85546875" style="439" customWidth="1"/>
    <col min="6659" max="6659" width="10.28515625" style="439" customWidth="1"/>
    <col min="6660" max="6660" width="9.42578125" style="439" customWidth="1"/>
    <col min="6661" max="6661" width="8.85546875" style="439" customWidth="1"/>
    <col min="6662" max="6662" width="39.140625" style="439" customWidth="1"/>
    <col min="6663" max="6663" width="8.85546875" style="439"/>
    <col min="6664" max="6664" width="9" style="439" bestFit="1" customWidth="1"/>
    <col min="6665" max="6901" width="8.85546875" style="439"/>
    <col min="6902" max="6902" width="3.42578125" style="439" customWidth="1"/>
    <col min="6903" max="6903" width="19.42578125" style="439" customWidth="1"/>
    <col min="6904" max="6904" width="14.42578125" style="439" customWidth="1"/>
    <col min="6905" max="6905" width="9.42578125" style="439" customWidth="1"/>
    <col min="6906" max="6906" width="12.140625" style="439" customWidth="1"/>
    <col min="6907" max="6907" width="9.42578125" style="439" customWidth="1"/>
    <col min="6908" max="6908" width="5.28515625" style="439" customWidth="1"/>
    <col min="6909" max="6909" width="8.85546875" style="439" customWidth="1"/>
    <col min="6910" max="6910" width="9.42578125" style="439" customWidth="1"/>
    <col min="6911" max="6911" width="8.85546875" style="439" customWidth="1"/>
    <col min="6912" max="6912" width="9" style="439" customWidth="1"/>
    <col min="6913" max="6913" width="9.140625" style="439" customWidth="1"/>
    <col min="6914" max="6914" width="7.85546875" style="439" customWidth="1"/>
    <col min="6915" max="6915" width="10.28515625" style="439" customWidth="1"/>
    <col min="6916" max="6916" width="9.42578125" style="439" customWidth="1"/>
    <col min="6917" max="6917" width="8.85546875" style="439" customWidth="1"/>
    <col min="6918" max="6918" width="39.140625" style="439" customWidth="1"/>
    <col min="6919" max="6919" width="8.85546875" style="439"/>
    <col min="6920" max="6920" width="9" style="439" bestFit="1" customWidth="1"/>
    <col min="6921" max="7157" width="8.85546875" style="439"/>
    <col min="7158" max="7158" width="3.42578125" style="439" customWidth="1"/>
    <col min="7159" max="7159" width="19.42578125" style="439" customWidth="1"/>
    <col min="7160" max="7160" width="14.42578125" style="439" customWidth="1"/>
    <col min="7161" max="7161" width="9.42578125" style="439" customWidth="1"/>
    <col min="7162" max="7162" width="12.140625" style="439" customWidth="1"/>
    <col min="7163" max="7163" width="9.42578125" style="439" customWidth="1"/>
    <col min="7164" max="7164" width="5.28515625" style="439" customWidth="1"/>
    <col min="7165" max="7165" width="8.85546875" style="439" customWidth="1"/>
    <col min="7166" max="7166" width="9.42578125" style="439" customWidth="1"/>
    <col min="7167" max="7167" width="8.85546875" style="439" customWidth="1"/>
    <col min="7168" max="7168" width="9" style="439" customWidth="1"/>
    <col min="7169" max="7169" width="9.140625" style="439" customWidth="1"/>
    <col min="7170" max="7170" width="7.85546875" style="439" customWidth="1"/>
    <col min="7171" max="7171" width="10.28515625" style="439" customWidth="1"/>
    <col min="7172" max="7172" width="9.42578125" style="439" customWidth="1"/>
    <col min="7173" max="7173" width="8.85546875" style="439" customWidth="1"/>
    <col min="7174" max="7174" width="39.140625" style="439" customWidth="1"/>
    <col min="7175" max="7175" width="8.85546875" style="439"/>
    <col min="7176" max="7176" width="9" style="439" bestFit="1" customWidth="1"/>
    <col min="7177" max="7413" width="8.85546875" style="439"/>
    <col min="7414" max="7414" width="3.42578125" style="439" customWidth="1"/>
    <col min="7415" max="7415" width="19.42578125" style="439" customWidth="1"/>
    <col min="7416" max="7416" width="14.42578125" style="439" customWidth="1"/>
    <col min="7417" max="7417" width="9.42578125" style="439" customWidth="1"/>
    <col min="7418" max="7418" width="12.140625" style="439" customWidth="1"/>
    <col min="7419" max="7419" width="9.42578125" style="439" customWidth="1"/>
    <col min="7420" max="7420" width="5.28515625" style="439" customWidth="1"/>
    <col min="7421" max="7421" width="8.85546875" style="439" customWidth="1"/>
    <col min="7422" max="7422" width="9.42578125" style="439" customWidth="1"/>
    <col min="7423" max="7423" width="8.85546875" style="439" customWidth="1"/>
    <col min="7424" max="7424" width="9" style="439" customWidth="1"/>
    <col min="7425" max="7425" width="9.140625" style="439" customWidth="1"/>
    <col min="7426" max="7426" width="7.85546875" style="439" customWidth="1"/>
    <col min="7427" max="7427" width="10.28515625" style="439" customWidth="1"/>
    <col min="7428" max="7428" width="9.42578125" style="439" customWidth="1"/>
    <col min="7429" max="7429" width="8.85546875" style="439" customWidth="1"/>
    <col min="7430" max="7430" width="39.140625" style="439" customWidth="1"/>
    <col min="7431" max="7431" width="8.85546875" style="439"/>
    <col min="7432" max="7432" width="9" style="439" bestFit="1" customWidth="1"/>
    <col min="7433" max="7669" width="8.85546875" style="439"/>
    <col min="7670" max="7670" width="3.42578125" style="439" customWidth="1"/>
    <col min="7671" max="7671" width="19.42578125" style="439" customWidth="1"/>
    <col min="7672" max="7672" width="14.42578125" style="439" customWidth="1"/>
    <col min="7673" max="7673" width="9.42578125" style="439" customWidth="1"/>
    <col min="7674" max="7674" width="12.140625" style="439" customWidth="1"/>
    <col min="7675" max="7675" width="9.42578125" style="439" customWidth="1"/>
    <col min="7676" max="7676" width="5.28515625" style="439" customWidth="1"/>
    <col min="7677" max="7677" width="8.85546875" style="439" customWidth="1"/>
    <col min="7678" max="7678" width="9.42578125" style="439" customWidth="1"/>
    <col min="7679" max="7679" width="8.85546875" style="439" customWidth="1"/>
    <col min="7680" max="7680" width="9" style="439" customWidth="1"/>
    <col min="7681" max="7681" width="9.140625" style="439" customWidth="1"/>
    <col min="7682" max="7682" width="7.85546875" style="439" customWidth="1"/>
    <col min="7683" max="7683" width="10.28515625" style="439" customWidth="1"/>
    <col min="7684" max="7684" width="9.42578125" style="439" customWidth="1"/>
    <col min="7685" max="7685" width="8.85546875" style="439" customWidth="1"/>
    <col min="7686" max="7686" width="39.140625" style="439" customWidth="1"/>
    <col min="7687" max="7687" width="8.85546875" style="439"/>
    <col min="7688" max="7688" width="9" style="439" bestFit="1" customWidth="1"/>
    <col min="7689" max="7925" width="8.85546875" style="439"/>
    <col min="7926" max="7926" width="3.42578125" style="439" customWidth="1"/>
    <col min="7927" max="7927" width="19.42578125" style="439" customWidth="1"/>
    <col min="7928" max="7928" width="14.42578125" style="439" customWidth="1"/>
    <col min="7929" max="7929" width="9.42578125" style="439" customWidth="1"/>
    <col min="7930" max="7930" width="12.140625" style="439" customWidth="1"/>
    <col min="7931" max="7931" width="9.42578125" style="439" customWidth="1"/>
    <col min="7932" max="7932" width="5.28515625" style="439" customWidth="1"/>
    <col min="7933" max="7933" width="8.85546875" style="439" customWidth="1"/>
    <col min="7934" max="7934" width="9.42578125" style="439" customWidth="1"/>
    <col min="7935" max="7935" width="8.85546875" style="439" customWidth="1"/>
    <col min="7936" max="7936" width="9" style="439" customWidth="1"/>
    <col min="7937" max="7937" width="9.140625" style="439" customWidth="1"/>
    <col min="7938" max="7938" width="7.85546875" style="439" customWidth="1"/>
    <col min="7939" max="7939" width="10.28515625" style="439" customWidth="1"/>
    <col min="7940" max="7940" width="9.42578125" style="439" customWidth="1"/>
    <col min="7941" max="7941" width="8.85546875" style="439" customWidth="1"/>
    <col min="7942" max="7942" width="39.140625" style="439" customWidth="1"/>
    <col min="7943" max="7943" width="8.85546875" style="439"/>
    <col min="7944" max="7944" width="9" style="439" bestFit="1" customWidth="1"/>
    <col min="7945" max="8181" width="8.85546875" style="439"/>
    <col min="8182" max="8182" width="3.42578125" style="439" customWidth="1"/>
    <col min="8183" max="8183" width="19.42578125" style="439" customWidth="1"/>
    <col min="8184" max="8184" width="14.42578125" style="439" customWidth="1"/>
    <col min="8185" max="8185" width="9.42578125" style="439" customWidth="1"/>
    <col min="8186" max="8186" width="12.140625" style="439" customWidth="1"/>
    <col min="8187" max="8187" width="9.42578125" style="439" customWidth="1"/>
    <col min="8188" max="8188" width="5.28515625" style="439" customWidth="1"/>
    <col min="8189" max="8189" width="8.85546875" style="439" customWidth="1"/>
    <col min="8190" max="8190" width="9.42578125" style="439" customWidth="1"/>
    <col min="8191" max="8191" width="8.85546875" style="439" customWidth="1"/>
    <col min="8192" max="8192" width="9" style="439" customWidth="1"/>
    <col min="8193" max="8193" width="9.140625" style="439" customWidth="1"/>
    <col min="8194" max="8194" width="7.85546875" style="439" customWidth="1"/>
    <col min="8195" max="8195" width="10.28515625" style="439" customWidth="1"/>
    <col min="8196" max="8196" width="9.42578125" style="439" customWidth="1"/>
    <col min="8197" max="8197" width="8.85546875" style="439" customWidth="1"/>
    <col min="8198" max="8198" width="39.140625" style="439" customWidth="1"/>
    <col min="8199" max="8199" width="8.85546875" style="439"/>
    <col min="8200" max="8200" width="9" style="439" bestFit="1" customWidth="1"/>
    <col min="8201" max="8437" width="8.85546875" style="439"/>
    <col min="8438" max="8438" width="3.42578125" style="439" customWidth="1"/>
    <col min="8439" max="8439" width="19.42578125" style="439" customWidth="1"/>
    <col min="8440" max="8440" width="14.42578125" style="439" customWidth="1"/>
    <col min="8441" max="8441" width="9.42578125" style="439" customWidth="1"/>
    <col min="8442" max="8442" width="12.140625" style="439" customWidth="1"/>
    <col min="8443" max="8443" width="9.42578125" style="439" customWidth="1"/>
    <col min="8444" max="8444" width="5.28515625" style="439" customWidth="1"/>
    <col min="8445" max="8445" width="8.85546875" style="439" customWidth="1"/>
    <col min="8446" max="8446" width="9.42578125" style="439" customWidth="1"/>
    <col min="8447" max="8447" width="8.85546875" style="439" customWidth="1"/>
    <col min="8448" max="8448" width="9" style="439" customWidth="1"/>
    <col min="8449" max="8449" width="9.140625" style="439" customWidth="1"/>
    <col min="8450" max="8450" width="7.85546875" style="439" customWidth="1"/>
    <col min="8451" max="8451" width="10.28515625" style="439" customWidth="1"/>
    <col min="8452" max="8452" width="9.42578125" style="439" customWidth="1"/>
    <col min="8453" max="8453" width="8.85546875" style="439" customWidth="1"/>
    <col min="8454" max="8454" width="39.140625" style="439" customWidth="1"/>
    <col min="8455" max="8455" width="8.85546875" style="439"/>
    <col min="8456" max="8456" width="9" style="439" bestFit="1" customWidth="1"/>
    <col min="8457" max="8693" width="8.85546875" style="439"/>
    <col min="8694" max="8694" width="3.42578125" style="439" customWidth="1"/>
    <col min="8695" max="8695" width="19.42578125" style="439" customWidth="1"/>
    <col min="8696" max="8696" width="14.42578125" style="439" customWidth="1"/>
    <col min="8697" max="8697" width="9.42578125" style="439" customWidth="1"/>
    <col min="8698" max="8698" width="12.140625" style="439" customWidth="1"/>
    <col min="8699" max="8699" width="9.42578125" style="439" customWidth="1"/>
    <col min="8700" max="8700" width="5.28515625" style="439" customWidth="1"/>
    <col min="8701" max="8701" width="8.85546875" style="439" customWidth="1"/>
    <col min="8702" max="8702" width="9.42578125" style="439" customWidth="1"/>
    <col min="8703" max="8703" width="8.85546875" style="439" customWidth="1"/>
    <col min="8704" max="8704" width="9" style="439" customWidth="1"/>
    <col min="8705" max="8705" width="9.140625" style="439" customWidth="1"/>
    <col min="8706" max="8706" width="7.85546875" style="439" customWidth="1"/>
    <col min="8707" max="8707" width="10.28515625" style="439" customWidth="1"/>
    <col min="8708" max="8708" width="9.42578125" style="439" customWidth="1"/>
    <col min="8709" max="8709" width="8.85546875" style="439" customWidth="1"/>
    <col min="8710" max="8710" width="39.140625" style="439" customWidth="1"/>
    <col min="8711" max="8711" width="8.85546875" style="439"/>
    <col min="8712" max="8712" width="9" style="439" bestFit="1" customWidth="1"/>
    <col min="8713" max="8949" width="8.85546875" style="439"/>
    <col min="8950" max="8950" width="3.42578125" style="439" customWidth="1"/>
    <col min="8951" max="8951" width="19.42578125" style="439" customWidth="1"/>
    <col min="8952" max="8952" width="14.42578125" style="439" customWidth="1"/>
    <col min="8953" max="8953" width="9.42578125" style="439" customWidth="1"/>
    <col min="8954" max="8954" width="12.140625" style="439" customWidth="1"/>
    <col min="8955" max="8955" width="9.42578125" style="439" customWidth="1"/>
    <col min="8956" max="8956" width="5.28515625" style="439" customWidth="1"/>
    <col min="8957" max="8957" width="8.85546875" style="439" customWidth="1"/>
    <col min="8958" max="8958" width="9.42578125" style="439" customWidth="1"/>
    <col min="8959" max="8959" width="8.85546875" style="439" customWidth="1"/>
    <col min="8960" max="8960" width="9" style="439" customWidth="1"/>
    <col min="8961" max="8961" width="9.140625" style="439" customWidth="1"/>
    <col min="8962" max="8962" width="7.85546875" style="439" customWidth="1"/>
    <col min="8963" max="8963" width="10.28515625" style="439" customWidth="1"/>
    <col min="8964" max="8964" width="9.42578125" style="439" customWidth="1"/>
    <col min="8965" max="8965" width="8.85546875" style="439" customWidth="1"/>
    <col min="8966" max="8966" width="39.140625" style="439" customWidth="1"/>
    <col min="8967" max="8967" width="8.85546875" style="439"/>
    <col min="8968" max="8968" width="9" style="439" bestFit="1" customWidth="1"/>
    <col min="8969" max="9205" width="8.85546875" style="439"/>
    <col min="9206" max="9206" width="3.42578125" style="439" customWidth="1"/>
    <col min="9207" max="9207" width="19.42578125" style="439" customWidth="1"/>
    <col min="9208" max="9208" width="14.42578125" style="439" customWidth="1"/>
    <col min="9209" max="9209" width="9.42578125" style="439" customWidth="1"/>
    <col min="9210" max="9210" width="12.140625" style="439" customWidth="1"/>
    <col min="9211" max="9211" width="9.42578125" style="439" customWidth="1"/>
    <col min="9212" max="9212" width="5.28515625" style="439" customWidth="1"/>
    <col min="9213" max="9213" width="8.85546875" style="439" customWidth="1"/>
    <col min="9214" max="9214" width="9.42578125" style="439" customWidth="1"/>
    <col min="9215" max="9215" width="8.85546875" style="439" customWidth="1"/>
    <col min="9216" max="9216" width="9" style="439" customWidth="1"/>
    <col min="9217" max="9217" width="9.140625" style="439" customWidth="1"/>
    <col min="9218" max="9218" width="7.85546875" style="439" customWidth="1"/>
    <col min="9219" max="9219" width="10.28515625" style="439" customWidth="1"/>
    <col min="9220" max="9220" width="9.42578125" style="439" customWidth="1"/>
    <col min="9221" max="9221" width="8.85546875" style="439" customWidth="1"/>
    <col min="9222" max="9222" width="39.140625" style="439" customWidth="1"/>
    <col min="9223" max="9223" width="8.85546875" style="439"/>
    <col min="9224" max="9224" width="9" style="439" bestFit="1" customWidth="1"/>
    <col min="9225" max="9461" width="8.85546875" style="439"/>
    <col min="9462" max="9462" width="3.42578125" style="439" customWidth="1"/>
    <col min="9463" max="9463" width="19.42578125" style="439" customWidth="1"/>
    <col min="9464" max="9464" width="14.42578125" style="439" customWidth="1"/>
    <col min="9465" max="9465" width="9.42578125" style="439" customWidth="1"/>
    <col min="9466" max="9466" width="12.140625" style="439" customWidth="1"/>
    <col min="9467" max="9467" width="9.42578125" style="439" customWidth="1"/>
    <col min="9468" max="9468" width="5.28515625" style="439" customWidth="1"/>
    <col min="9469" max="9469" width="8.85546875" style="439" customWidth="1"/>
    <col min="9470" max="9470" width="9.42578125" style="439" customWidth="1"/>
    <col min="9471" max="9471" width="8.85546875" style="439" customWidth="1"/>
    <col min="9472" max="9472" width="9" style="439" customWidth="1"/>
    <col min="9473" max="9473" width="9.140625" style="439" customWidth="1"/>
    <col min="9474" max="9474" width="7.85546875" style="439" customWidth="1"/>
    <col min="9475" max="9475" width="10.28515625" style="439" customWidth="1"/>
    <col min="9476" max="9476" width="9.42578125" style="439" customWidth="1"/>
    <col min="9477" max="9477" width="8.85546875" style="439" customWidth="1"/>
    <col min="9478" max="9478" width="39.140625" style="439" customWidth="1"/>
    <col min="9479" max="9479" width="8.85546875" style="439"/>
    <col min="9480" max="9480" width="9" style="439" bestFit="1" customWidth="1"/>
    <col min="9481" max="9717" width="8.85546875" style="439"/>
    <col min="9718" max="9718" width="3.42578125" style="439" customWidth="1"/>
    <col min="9719" max="9719" width="19.42578125" style="439" customWidth="1"/>
    <col min="9720" max="9720" width="14.42578125" style="439" customWidth="1"/>
    <col min="9721" max="9721" width="9.42578125" style="439" customWidth="1"/>
    <col min="9722" max="9722" width="12.140625" style="439" customWidth="1"/>
    <col min="9723" max="9723" width="9.42578125" style="439" customWidth="1"/>
    <col min="9724" max="9724" width="5.28515625" style="439" customWidth="1"/>
    <col min="9725" max="9725" width="8.85546875" style="439" customWidth="1"/>
    <col min="9726" max="9726" width="9.42578125" style="439" customWidth="1"/>
    <col min="9727" max="9727" width="8.85546875" style="439" customWidth="1"/>
    <col min="9728" max="9728" width="9" style="439" customWidth="1"/>
    <col min="9729" max="9729" width="9.140625" style="439" customWidth="1"/>
    <col min="9730" max="9730" width="7.85546875" style="439" customWidth="1"/>
    <col min="9731" max="9731" width="10.28515625" style="439" customWidth="1"/>
    <col min="9732" max="9732" width="9.42578125" style="439" customWidth="1"/>
    <col min="9733" max="9733" width="8.85546875" style="439" customWidth="1"/>
    <col min="9734" max="9734" width="39.140625" style="439" customWidth="1"/>
    <col min="9735" max="9735" width="8.85546875" style="439"/>
    <col min="9736" max="9736" width="9" style="439" bestFit="1" customWidth="1"/>
    <col min="9737" max="9973" width="8.85546875" style="439"/>
    <col min="9974" max="9974" width="3.42578125" style="439" customWidth="1"/>
    <col min="9975" max="9975" width="19.42578125" style="439" customWidth="1"/>
    <col min="9976" max="9976" width="14.42578125" style="439" customWidth="1"/>
    <col min="9977" max="9977" width="9.42578125" style="439" customWidth="1"/>
    <col min="9978" max="9978" width="12.140625" style="439" customWidth="1"/>
    <col min="9979" max="9979" width="9.42578125" style="439" customWidth="1"/>
    <col min="9980" max="9980" width="5.28515625" style="439" customWidth="1"/>
    <col min="9981" max="9981" width="8.85546875" style="439" customWidth="1"/>
    <col min="9982" max="9982" width="9.42578125" style="439" customWidth="1"/>
    <col min="9983" max="9983" width="8.85546875" style="439" customWidth="1"/>
    <col min="9984" max="9984" width="9" style="439" customWidth="1"/>
    <col min="9985" max="9985" width="9.140625" style="439" customWidth="1"/>
    <col min="9986" max="9986" width="7.85546875" style="439" customWidth="1"/>
    <col min="9987" max="9987" width="10.28515625" style="439" customWidth="1"/>
    <col min="9988" max="9988" width="9.42578125" style="439" customWidth="1"/>
    <col min="9989" max="9989" width="8.85546875" style="439" customWidth="1"/>
    <col min="9990" max="9990" width="39.140625" style="439" customWidth="1"/>
    <col min="9991" max="9991" width="8.85546875" style="439"/>
    <col min="9992" max="9992" width="9" style="439" bestFit="1" customWidth="1"/>
    <col min="9993" max="10229" width="8.85546875" style="439"/>
    <col min="10230" max="10230" width="3.42578125" style="439" customWidth="1"/>
    <col min="10231" max="10231" width="19.42578125" style="439" customWidth="1"/>
    <col min="10232" max="10232" width="14.42578125" style="439" customWidth="1"/>
    <col min="10233" max="10233" width="9.42578125" style="439" customWidth="1"/>
    <col min="10234" max="10234" width="12.140625" style="439" customWidth="1"/>
    <col min="10235" max="10235" width="9.42578125" style="439" customWidth="1"/>
    <col min="10236" max="10236" width="5.28515625" style="439" customWidth="1"/>
    <col min="10237" max="10237" width="8.85546875" style="439" customWidth="1"/>
    <col min="10238" max="10238" width="9.42578125" style="439" customWidth="1"/>
    <col min="10239" max="10239" width="8.85546875" style="439" customWidth="1"/>
    <col min="10240" max="10240" width="9" style="439" customWidth="1"/>
    <col min="10241" max="10241" width="9.140625" style="439" customWidth="1"/>
    <col min="10242" max="10242" width="7.85546875" style="439" customWidth="1"/>
    <col min="10243" max="10243" width="10.28515625" style="439" customWidth="1"/>
    <col min="10244" max="10244" width="9.42578125" style="439" customWidth="1"/>
    <col min="10245" max="10245" width="8.85546875" style="439" customWidth="1"/>
    <col min="10246" max="10246" width="39.140625" style="439" customWidth="1"/>
    <col min="10247" max="10247" width="8.85546875" style="439"/>
    <col min="10248" max="10248" width="9" style="439" bestFit="1" customWidth="1"/>
    <col min="10249" max="10485" width="8.85546875" style="439"/>
    <col min="10486" max="10486" width="3.42578125" style="439" customWidth="1"/>
    <col min="10487" max="10487" width="19.42578125" style="439" customWidth="1"/>
    <col min="10488" max="10488" width="14.42578125" style="439" customWidth="1"/>
    <col min="10489" max="10489" width="9.42578125" style="439" customWidth="1"/>
    <col min="10490" max="10490" width="12.140625" style="439" customWidth="1"/>
    <col min="10491" max="10491" width="9.42578125" style="439" customWidth="1"/>
    <col min="10492" max="10492" width="5.28515625" style="439" customWidth="1"/>
    <col min="10493" max="10493" width="8.85546875" style="439" customWidth="1"/>
    <col min="10494" max="10494" width="9.42578125" style="439" customWidth="1"/>
    <col min="10495" max="10495" width="8.85546875" style="439" customWidth="1"/>
    <col min="10496" max="10496" width="9" style="439" customWidth="1"/>
    <col min="10497" max="10497" width="9.140625" style="439" customWidth="1"/>
    <col min="10498" max="10498" width="7.85546875" style="439" customWidth="1"/>
    <col min="10499" max="10499" width="10.28515625" style="439" customWidth="1"/>
    <col min="10500" max="10500" width="9.42578125" style="439" customWidth="1"/>
    <col min="10501" max="10501" width="8.85546875" style="439" customWidth="1"/>
    <col min="10502" max="10502" width="39.140625" style="439" customWidth="1"/>
    <col min="10503" max="10503" width="8.85546875" style="439"/>
    <col min="10504" max="10504" width="9" style="439" bestFit="1" customWidth="1"/>
    <col min="10505" max="10741" width="8.85546875" style="439"/>
    <col min="10742" max="10742" width="3.42578125" style="439" customWidth="1"/>
    <col min="10743" max="10743" width="19.42578125" style="439" customWidth="1"/>
    <col min="10744" max="10744" width="14.42578125" style="439" customWidth="1"/>
    <col min="10745" max="10745" width="9.42578125" style="439" customWidth="1"/>
    <col min="10746" max="10746" width="12.140625" style="439" customWidth="1"/>
    <col min="10747" max="10747" width="9.42578125" style="439" customWidth="1"/>
    <col min="10748" max="10748" width="5.28515625" style="439" customWidth="1"/>
    <col min="10749" max="10749" width="8.85546875" style="439" customWidth="1"/>
    <col min="10750" max="10750" width="9.42578125" style="439" customWidth="1"/>
    <col min="10751" max="10751" width="8.85546875" style="439" customWidth="1"/>
    <col min="10752" max="10752" width="9" style="439" customWidth="1"/>
    <col min="10753" max="10753" width="9.140625" style="439" customWidth="1"/>
    <col min="10754" max="10754" width="7.85546875" style="439" customWidth="1"/>
    <col min="10755" max="10755" width="10.28515625" style="439" customWidth="1"/>
    <col min="10756" max="10756" width="9.42578125" style="439" customWidth="1"/>
    <col min="10757" max="10757" width="8.85546875" style="439" customWidth="1"/>
    <col min="10758" max="10758" width="39.140625" style="439" customWidth="1"/>
    <col min="10759" max="10759" width="8.85546875" style="439"/>
    <col min="10760" max="10760" width="9" style="439" bestFit="1" customWidth="1"/>
    <col min="10761" max="10997" width="8.85546875" style="439"/>
    <col min="10998" max="10998" width="3.42578125" style="439" customWidth="1"/>
    <col min="10999" max="10999" width="19.42578125" style="439" customWidth="1"/>
    <col min="11000" max="11000" width="14.42578125" style="439" customWidth="1"/>
    <col min="11001" max="11001" width="9.42578125" style="439" customWidth="1"/>
    <col min="11002" max="11002" width="12.140625" style="439" customWidth="1"/>
    <col min="11003" max="11003" width="9.42578125" style="439" customWidth="1"/>
    <col min="11004" max="11004" width="5.28515625" style="439" customWidth="1"/>
    <col min="11005" max="11005" width="8.85546875" style="439" customWidth="1"/>
    <col min="11006" max="11006" width="9.42578125" style="439" customWidth="1"/>
    <col min="11007" max="11007" width="8.85546875" style="439" customWidth="1"/>
    <col min="11008" max="11008" width="9" style="439" customWidth="1"/>
    <col min="11009" max="11009" width="9.140625" style="439" customWidth="1"/>
    <col min="11010" max="11010" width="7.85546875" style="439" customWidth="1"/>
    <col min="11011" max="11011" width="10.28515625" style="439" customWidth="1"/>
    <col min="11012" max="11012" width="9.42578125" style="439" customWidth="1"/>
    <col min="11013" max="11013" width="8.85546875" style="439" customWidth="1"/>
    <col min="11014" max="11014" width="39.140625" style="439" customWidth="1"/>
    <col min="11015" max="11015" width="8.85546875" style="439"/>
    <col min="11016" max="11016" width="9" style="439" bestFit="1" customWidth="1"/>
    <col min="11017" max="11253" width="8.85546875" style="439"/>
    <col min="11254" max="11254" width="3.42578125" style="439" customWidth="1"/>
    <col min="11255" max="11255" width="19.42578125" style="439" customWidth="1"/>
    <col min="11256" max="11256" width="14.42578125" style="439" customWidth="1"/>
    <col min="11257" max="11257" width="9.42578125" style="439" customWidth="1"/>
    <col min="11258" max="11258" width="12.140625" style="439" customWidth="1"/>
    <col min="11259" max="11259" width="9.42578125" style="439" customWidth="1"/>
    <col min="11260" max="11260" width="5.28515625" style="439" customWidth="1"/>
    <col min="11261" max="11261" width="8.85546875" style="439" customWidth="1"/>
    <col min="11262" max="11262" width="9.42578125" style="439" customWidth="1"/>
    <col min="11263" max="11263" width="8.85546875" style="439" customWidth="1"/>
    <col min="11264" max="11264" width="9" style="439" customWidth="1"/>
    <col min="11265" max="11265" width="9.140625" style="439" customWidth="1"/>
    <col min="11266" max="11266" width="7.85546875" style="439" customWidth="1"/>
    <col min="11267" max="11267" width="10.28515625" style="439" customWidth="1"/>
    <col min="11268" max="11268" width="9.42578125" style="439" customWidth="1"/>
    <col min="11269" max="11269" width="8.85546875" style="439" customWidth="1"/>
    <col min="11270" max="11270" width="39.140625" style="439" customWidth="1"/>
    <col min="11271" max="11271" width="8.85546875" style="439"/>
    <col min="11272" max="11272" width="9" style="439" bestFit="1" customWidth="1"/>
    <col min="11273" max="11509" width="8.85546875" style="439"/>
    <col min="11510" max="11510" width="3.42578125" style="439" customWidth="1"/>
    <col min="11511" max="11511" width="19.42578125" style="439" customWidth="1"/>
    <col min="11512" max="11512" width="14.42578125" style="439" customWidth="1"/>
    <col min="11513" max="11513" width="9.42578125" style="439" customWidth="1"/>
    <col min="11514" max="11514" width="12.140625" style="439" customWidth="1"/>
    <col min="11515" max="11515" width="9.42578125" style="439" customWidth="1"/>
    <col min="11516" max="11516" width="5.28515625" style="439" customWidth="1"/>
    <col min="11517" max="11517" width="8.85546875" style="439" customWidth="1"/>
    <col min="11518" max="11518" width="9.42578125" style="439" customWidth="1"/>
    <col min="11519" max="11519" width="8.85546875" style="439" customWidth="1"/>
    <col min="11520" max="11520" width="9" style="439" customWidth="1"/>
    <col min="11521" max="11521" width="9.140625" style="439" customWidth="1"/>
    <col min="11522" max="11522" width="7.85546875" style="439" customWidth="1"/>
    <col min="11523" max="11523" width="10.28515625" style="439" customWidth="1"/>
    <col min="11524" max="11524" width="9.42578125" style="439" customWidth="1"/>
    <col min="11525" max="11525" width="8.85546875" style="439" customWidth="1"/>
    <col min="11526" max="11526" width="39.140625" style="439" customWidth="1"/>
    <col min="11527" max="11527" width="8.85546875" style="439"/>
    <col min="11528" max="11528" width="9" style="439" bestFit="1" customWidth="1"/>
    <col min="11529" max="11765" width="8.85546875" style="439"/>
    <col min="11766" max="11766" width="3.42578125" style="439" customWidth="1"/>
    <col min="11767" max="11767" width="19.42578125" style="439" customWidth="1"/>
    <col min="11768" max="11768" width="14.42578125" style="439" customWidth="1"/>
    <col min="11769" max="11769" width="9.42578125" style="439" customWidth="1"/>
    <col min="11770" max="11770" width="12.140625" style="439" customWidth="1"/>
    <col min="11771" max="11771" width="9.42578125" style="439" customWidth="1"/>
    <col min="11772" max="11772" width="5.28515625" style="439" customWidth="1"/>
    <col min="11773" max="11773" width="8.85546875" style="439" customWidth="1"/>
    <col min="11774" max="11774" width="9.42578125" style="439" customWidth="1"/>
    <col min="11775" max="11775" width="8.85546875" style="439" customWidth="1"/>
    <col min="11776" max="11776" width="9" style="439" customWidth="1"/>
    <col min="11777" max="11777" width="9.140625" style="439" customWidth="1"/>
    <col min="11778" max="11778" width="7.85546875" style="439" customWidth="1"/>
    <col min="11779" max="11779" width="10.28515625" style="439" customWidth="1"/>
    <col min="11780" max="11780" width="9.42578125" style="439" customWidth="1"/>
    <col min="11781" max="11781" width="8.85546875" style="439" customWidth="1"/>
    <col min="11782" max="11782" width="39.140625" style="439" customWidth="1"/>
    <col min="11783" max="11783" width="8.85546875" style="439"/>
    <col min="11784" max="11784" width="9" style="439" bestFit="1" customWidth="1"/>
    <col min="11785" max="12021" width="8.85546875" style="439"/>
    <col min="12022" max="12022" width="3.42578125" style="439" customWidth="1"/>
    <col min="12023" max="12023" width="19.42578125" style="439" customWidth="1"/>
    <col min="12024" max="12024" width="14.42578125" style="439" customWidth="1"/>
    <col min="12025" max="12025" width="9.42578125" style="439" customWidth="1"/>
    <col min="12026" max="12026" width="12.140625" style="439" customWidth="1"/>
    <col min="12027" max="12027" width="9.42578125" style="439" customWidth="1"/>
    <col min="12028" max="12028" width="5.28515625" style="439" customWidth="1"/>
    <col min="12029" max="12029" width="8.85546875" style="439" customWidth="1"/>
    <col min="12030" max="12030" width="9.42578125" style="439" customWidth="1"/>
    <col min="12031" max="12031" width="8.85546875" style="439" customWidth="1"/>
    <col min="12032" max="12032" width="9" style="439" customWidth="1"/>
    <col min="12033" max="12033" width="9.140625" style="439" customWidth="1"/>
    <col min="12034" max="12034" width="7.85546875" style="439" customWidth="1"/>
    <col min="12035" max="12035" width="10.28515625" style="439" customWidth="1"/>
    <col min="12036" max="12036" width="9.42578125" style="439" customWidth="1"/>
    <col min="12037" max="12037" width="8.85546875" style="439" customWidth="1"/>
    <col min="12038" max="12038" width="39.140625" style="439" customWidth="1"/>
    <col min="12039" max="12039" width="8.85546875" style="439"/>
    <col min="12040" max="12040" width="9" style="439" bestFit="1" customWidth="1"/>
    <col min="12041" max="12277" width="8.85546875" style="439"/>
    <col min="12278" max="12278" width="3.42578125" style="439" customWidth="1"/>
    <col min="12279" max="12279" width="19.42578125" style="439" customWidth="1"/>
    <col min="12280" max="12280" width="14.42578125" style="439" customWidth="1"/>
    <col min="12281" max="12281" width="9.42578125" style="439" customWidth="1"/>
    <col min="12282" max="12282" width="12.140625" style="439" customWidth="1"/>
    <col min="12283" max="12283" width="9.42578125" style="439" customWidth="1"/>
    <col min="12284" max="12284" width="5.28515625" style="439" customWidth="1"/>
    <col min="12285" max="12285" width="8.85546875" style="439" customWidth="1"/>
    <col min="12286" max="12286" width="9.42578125" style="439" customWidth="1"/>
    <col min="12287" max="12287" width="8.85546875" style="439" customWidth="1"/>
    <col min="12288" max="12288" width="9" style="439" customWidth="1"/>
    <col min="12289" max="12289" width="9.140625" style="439" customWidth="1"/>
    <col min="12290" max="12290" width="7.85546875" style="439" customWidth="1"/>
    <col min="12291" max="12291" width="10.28515625" style="439" customWidth="1"/>
    <col min="12292" max="12292" width="9.42578125" style="439" customWidth="1"/>
    <col min="12293" max="12293" width="8.85546875" style="439" customWidth="1"/>
    <col min="12294" max="12294" width="39.140625" style="439" customWidth="1"/>
    <col min="12295" max="12295" width="8.85546875" style="439"/>
    <col min="12296" max="12296" width="9" style="439" bestFit="1" customWidth="1"/>
    <col min="12297" max="12533" width="8.85546875" style="439"/>
    <col min="12534" max="12534" width="3.42578125" style="439" customWidth="1"/>
    <col min="12535" max="12535" width="19.42578125" style="439" customWidth="1"/>
    <col min="12536" max="12536" width="14.42578125" style="439" customWidth="1"/>
    <col min="12537" max="12537" width="9.42578125" style="439" customWidth="1"/>
    <col min="12538" max="12538" width="12.140625" style="439" customWidth="1"/>
    <col min="12539" max="12539" width="9.42578125" style="439" customWidth="1"/>
    <col min="12540" max="12540" width="5.28515625" style="439" customWidth="1"/>
    <col min="12541" max="12541" width="8.85546875" style="439" customWidth="1"/>
    <col min="12542" max="12542" width="9.42578125" style="439" customWidth="1"/>
    <col min="12543" max="12543" width="8.85546875" style="439" customWidth="1"/>
    <col min="12544" max="12544" width="9" style="439" customWidth="1"/>
    <col min="12545" max="12545" width="9.140625" style="439" customWidth="1"/>
    <col min="12546" max="12546" width="7.85546875" style="439" customWidth="1"/>
    <col min="12547" max="12547" width="10.28515625" style="439" customWidth="1"/>
    <col min="12548" max="12548" width="9.42578125" style="439" customWidth="1"/>
    <col min="12549" max="12549" width="8.85546875" style="439" customWidth="1"/>
    <col min="12550" max="12550" width="39.140625" style="439" customWidth="1"/>
    <col min="12551" max="12551" width="8.85546875" style="439"/>
    <col min="12552" max="12552" width="9" style="439" bestFit="1" customWidth="1"/>
    <col min="12553" max="12789" width="8.85546875" style="439"/>
    <col min="12790" max="12790" width="3.42578125" style="439" customWidth="1"/>
    <col min="12791" max="12791" width="19.42578125" style="439" customWidth="1"/>
    <col min="12792" max="12792" width="14.42578125" style="439" customWidth="1"/>
    <col min="12793" max="12793" width="9.42578125" style="439" customWidth="1"/>
    <col min="12794" max="12794" width="12.140625" style="439" customWidth="1"/>
    <col min="12795" max="12795" width="9.42578125" style="439" customWidth="1"/>
    <col min="12796" max="12796" width="5.28515625" style="439" customWidth="1"/>
    <col min="12797" max="12797" width="8.85546875" style="439" customWidth="1"/>
    <col min="12798" max="12798" width="9.42578125" style="439" customWidth="1"/>
    <col min="12799" max="12799" width="8.85546875" style="439" customWidth="1"/>
    <col min="12800" max="12800" width="9" style="439" customWidth="1"/>
    <col min="12801" max="12801" width="9.140625" style="439" customWidth="1"/>
    <col min="12802" max="12802" width="7.85546875" style="439" customWidth="1"/>
    <col min="12803" max="12803" width="10.28515625" style="439" customWidth="1"/>
    <col min="12804" max="12804" width="9.42578125" style="439" customWidth="1"/>
    <col min="12805" max="12805" width="8.85546875" style="439" customWidth="1"/>
    <col min="12806" max="12806" width="39.140625" style="439" customWidth="1"/>
    <col min="12807" max="12807" width="8.85546875" style="439"/>
    <col min="12808" max="12808" width="9" style="439" bestFit="1" customWidth="1"/>
    <col min="12809" max="13045" width="8.85546875" style="439"/>
    <col min="13046" max="13046" width="3.42578125" style="439" customWidth="1"/>
    <col min="13047" max="13047" width="19.42578125" style="439" customWidth="1"/>
    <col min="13048" max="13048" width="14.42578125" style="439" customWidth="1"/>
    <col min="13049" max="13049" width="9.42578125" style="439" customWidth="1"/>
    <col min="13050" max="13050" width="12.140625" style="439" customWidth="1"/>
    <col min="13051" max="13051" width="9.42578125" style="439" customWidth="1"/>
    <col min="13052" max="13052" width="5.28515625" style="439" customWidth="1"/>
    <col min="13053" max="13053" width="8.85546875" style="439" customWidth="1"/>
    <col min="13054" max="13054" width="9.42578125" style="439" customWidth="1"/>
    <col min="13055" max="13055" width="8.85546875" style="439" customWidth="1"/>
    <col min="13056" max="13056" width="9" style="439" customWidth="1"/>
    <col min="13057" max="13057" width="9.140625" style="439" customWidth="1"/>
    <col min="13058" max="13058" width="7.85546875" style="439" customWidth="1"/>
    <col min="13059" max="13059" width="10.28515625" style="439" customWidth="1"/>
    <col min="13060" max="13060" width="9.42578125" style="439" customWidth="1"/>
    <col min="13061" max="13061" width="8.85546875" style="439" customWidth="1"/>
    <col min="13062" max="13062" width="39.140625" style="439" customWidth="1"/>
    <col min="13063" max="13063" width="8.85546875" style="439"/>
    <col min="13064" max="13064" width="9" style="439" bestFit="1" customWidth="1"/>
    <col min="13065" max="13301" width="8.85546875" style="439"/>
    <col min="13302" max="13302" width="3.42578125" style="439" customWidth="1"/>
    <col min="13303" max="13303" width="19.42578125" style="439" customWidth="1"/>
    <col min="13304" max="13304" width="14.42578125" style="439" customWidth="1"/>
    <col min="13305" max="13305" width="9.42578125" style="439" customWidth="1"/>
    <col min="13306" max="13306" width="12.140625" style="439" customWidth="1"/>
    <col min="13307" max="13307" width="9.42578125" style="439" customWidth="1"/>
    <col min="13308" max="13308" width="5.28515625" style="439" customWidth="1"/>
    <col min="13309" max="13309" width="8.85546875" style="439" customWidth="1"/>
    <col min="13310" max="13310" width="9.42578125" style="439" customWidth="1"/>
    <col min="13311" max="13311" width="8.85546875" style="439" customWidth="1"/>
    <col min="13312" max="13312" width="9" style="439" customWidth="1"/>
    <col min="13313" max="13313" width="9.140625" style="439" customWidth="1"/>
    <col min="13314" max="13314" width="7.85546875" style="439" customWidth="1"/>
    <col min="13315" max="13315" width="10.28515625" style="439" customWidth="1"/>
    <col min="13316" max="13316" width="9.42578125" style="439" customWidth="1"/>
    <col min="13317" max="13317" width="8.85546875" style="439" customWidth="1"/>
    <col min="13318" max="13318" width="39.140625" style="439" customWidth="1"/>
    <col min="13319" max="13319" width="8.85546875" style="439"/>
    <col min="13320" max="13320" width="9" style="439" bestFit="1" customWidth="1"/>
    <col min="13321" max="13557" width="8.85546875" style="439"/>
    <col min="13558" max="13558" width="3.42578125" style="439" customWidth="1"/>
    <col min="13559" max="13559" width="19.42578125" style="439" customWidth="1"/>
    <col min="13560" max="13560" width="14.42578125" style="439" customWidth="1"/>
    <col min="13561" max="13561" width="9.42578125" style="439" customWidth="1"/>
    <col min="13562" max="13562" width="12.140625" style="439" customWidth="1"/>
    <col min="13563" max="13563" width="9.42578125" style="439" customWidth="1"/>
    <col min="13564" max="13564" width="5.28515625" style="439" customWidth="1"/>
    <col min="13565" max="13565" width="8.85546875" style="439" customWidth="1"/>
    <col min="13566" max="13566" width="9.42578125" style="439" customWidth="1"/>
    <col min="13567" max="13567" width="8.85546875" style="439" customWidth="1"/>
    <col min="13568" max="13568" width="9" style="439" customWidth="1"/>
    <col min="13569" max="13569" width="9.140625" style="439" customWidth="1"/>
    <col min="13570" max="13570" width="7.85546875" style="439" customWidth="1"/>
    <col min="13571" max="13571" width="10.28515625" style="439" customWidth="1"/>
    <col min="13572" max="13572" width="9.42578125" style="439" customWidth="1"/>
    <col min="13573" max="13573" width="8.85546875" style="439" customWidth="1"/>
    <col min="13574" max="13574" width="39.140625" style="439" customWidth="1"/>
    <col min="13575" max="13575" width="8.85546875" style="439"/>
    <col min="13576" max="13576" width="9" style="439" bestFit="1" customWidth="1"/>
    <col min="13577" max="13813" width="8.85546875" style="439"/>
    <col min="13814" max="13814" width="3.42578125" style="439" customWidth="1"/>
    <col min="13815" max="13815" width="19.42578125" style="439" customWidth="1"/>
    <col min="13816" max="13816" width="14.42578125" style="439" customWidth="1"/>
    <col min="13817" max="13817" width="9.42578125" style="439" customWidth="1"/>
    <col min="13818" max="13818" width="12.140625" style="439" customWidth="1"/>
    <col min="13819" max="13819" width="9.42578125" style="439" customWidth="1"/>
    <col min="13820" max="13820" width="5.28515625" style="439" customWidth="1"/>
    <col min="13821" max="13821" width="8.85546875" style="439" customWidth="1"/>
    <col min="13822" max="13822" width="9.42578125" style="439" customWidth="1"/>
    <col min="13823" max="13823" width="8.85546875" style="439" customWidth="1"/>
    <col min="13824" max="13824" width="9" style="439" customWidth="1"/>
    <col min="13825" max="13825" width="9.140625" style="439" customWidth="1"/>
    <col min="13826" max="13826" width="7.85546875" style="439" customWidth="1"/>
    <col min="13827" max="13827" width="10.28515625" style="439" customWidth="1"/>
    <col min="13828" max="13828" width="9.42578125" style="439" customWidth="1"/>
    <col min="13829" max="13829" width="8.85546875" style="439" customWidth="1"/>
    <col min="13830" max="13830" width="39.140625" style="439" customWidth="1"/>
    <col min="13831" max="13831" width="8.85546875" style="439"/>
    <col min="13832" max="13832" width="9" style="439" bestFit="1" customWidth="1"/>
    <col min="13833" max="14069" width="8.85546875" style="439"/>
    <col min="14070" max="14070" width="3.42578125" style="439" customWidth="1"/>
    <col min="14071" max="14071" width="19.42578125" style="439" customWidth="1"/>
    <col min="14072" max="14072" width="14.42578125" style="439" customWidth="1"/>
    <col min="14073" max="14073" width="9.42578125" style="439" customWidth="1"/>
    <col min="14074" max="14074" width="12.140625" style="439" customWidth="1"/>
    <col min="14075" max="14075" width="9.42578125" style="439" customWidth="1"/>
    <col min="14076" max="14076" width="5.28515625" style="439" customWidth="1"/>
    <col min="14077" max="14077" width="8.85546875" style="439" customWidth="1"/>
    <col min="14078" max="14078" width="9.42578125" style="439" customWidth="1"/>
    <col min="14079" max="14079" width="8.85546875" style="439" customWidth="1"/>
    <col min="14080" max="14080" width="9" style="439" customWidth="1"/>
    <col min="14081" max="14081" width="9.140625" style="439" customWidth="1"/>
    <col min="14082" max="14082" width="7.85546875" style="439" customWidth="1"/>
    <col min="14083" max="14083" width="10.28515625" style="439" customWidth="1"/>
    <col min="14084" max="14084" width="9.42578125" style="439" customWidth="1"/>
    <col min="14085" max="14085" width="8.85546875" style="439" customWidth="1"/>
    <col min="14086" max="14086" width="39.140625" style="439" customWidth="1"/>
    <col min="14087" max="14087" width="8.85546875" style="439"/>
    <col min="14088" max="14088" width="9" style="439" bestFit="1" customWidth="1"/>
    <col min="14089" max="14325" width="8.85546875" style="439"/>
    <col min="14326" max="14326" width="3.42578125" style="439" customWidth="1"/>
    <col min="14327" max="14327" width="19.42578125" style="439" customWidth="1"/>
    <col min="14328" max="14328" width="14.42578125" style="439" customWidth="1"/>
    <col min="14329" max="14329" width="9.42578125" style="439" customWidth="1"/>
    <col min="14330" max="14330" width="12.140625" style="439" customWidth="1"/>
    <col min="14331" max="14331" width="9.42578125" style="439" customWidth="1"/>
    <col min="14332" max="14332" width="5.28515625" style="439" customWidth="1"/>
    <col min="14333" max="14333" width="8.85546875" style="439" customWidth="1"/>
    <col min="14334" max="14334" width="9.42578125" style="439" customWidth="1"/>
    <col min="14335" max="14335" width="8.85546875" style="439" customWidth="1"/>
    <col min="14336" max="14336" width="9" style="439" customWidth="1"/>
    <col min="14337" max="14337" width="9.140625" style="439" customWidth="1"/>
    <col min="14338" max="14338" width="7.85546875" style="439" customWidth="1"/>
    <col min="14339" max="14339" width="10.28515625" style="439" customWidth="1"/>
    <col min="14340" max="14340" width="9.42578125" style="439" customWidth="1"/>
    <col min="14341" max="14341" width="8.85546875" style="439" customWidth="1"/>
    <col min="14342" max="14342" width="39.140625" style="439" customWidth="1"/>
    <col min="14343" max="14343" width="8.85546875" style="439"/>
    <col min="14344" max="14344" width="9" style="439" bestFit="1" customWidth="1"/>
    <col min="14345" max="14581" width="8.85546875" style="439"/>
    <col min="14582" max="14582" width="3.42578125" style="439" customWidth="1"/>
    <col min="14583" max="14583" width="19.42578125" style="439" customWidth="1"/>
    <col min="14584" max="14584" width="14.42578125" style="439" customWidth="1"/>
    <col min="14585" max="14585" width="9.42578125" style="439" customWidth="1"/>
    <col min="14586" max="14586" width="12.140625" style="439" customWidth="1"/>
    <col min="14587" max="14587" width="9.42578125" style="439" customWidth="1"/>
    <col min="14588" max="14588" width="5.28515625" style="439" customWidth="1"/>
    <col min="14589" max="14589" width="8.85546875" style="439" customWidth="1"/>
    <col min="14590" max="14590" width="9.42578125" style="439" customWidth="1"/>
    <col min="14591" max="14591" width="8.85546875" style="439" customWidth="1"/>
    <col min="14592" max="14592" width="9" style="439" customWidth="1"/>
    <col min="14593" max="14593" width="9.140625" style="439" customWidth="1"/>
    <col min="14594" max="14594" width="7.85546875" style="439" customWidth="1"/>
    <col min="14595" max="14595" width="10.28515625" style="439" customWidth="1"/>
    <col min="14596" max="14596" width="9.42578125" style="439" customWidth="1"/>
    <col min="14597" max="14597" width="8.85546875" style="439" customWidth="1"/>
    <col min="14598" max="14598" width="39.140625" style="439" customWidth="1"/>
    <col min="14599" max="14599" width="8.85546875" style="439"/>
    <col min="14600" max="14600" width="9" style="439" bestFit="1" customWidth="1"/>
    <col min="14601" max="14837" width="8.85546875" style="439"/>
    <col min="14838" max="14838" width="3.42578125" style="439" customWidth="1"/>
    <col min="14839" max="14839" width="19.42578125" style="439" customWidth="1"/>
    <col min="14840" max="14840" width="14.42578125" style="439" customWidth="1"/>
    <col min="14841" max="14841" width="9.42578125" style="439" customWidth="1"/>
    <col min="14842" max="14842" width="12.140625" style="439" customWidth="1"/>
    <col min="14843" max="14843" width="9.42578125" style="439" customWidth="1"/>
    <col min="14844" max="14844" width="5.28515625" style="439" customWidth="1"/>
    <col min="14845" max="14845" width="8.85546875" style="439" customWidth="1"/>
    <col min="14846" max="14846" width="9.42578125" style="439" customWidth="1"/>
    <col min="14847" max="14847" width="8.85546875" style="439" customWidth="1"/>
    <col min="14848" max="14848" width="9" style="439" customWidth="1"/>
    <col min="14849" max="14849" width="9.140625" style="439" customWidth="1"/>
    <col min="14850" max="14850" width="7.85546875" style="439" customWidth="1"/>
    <col min="14851" max="14851" width="10.28515625" style="439" customWidth="1"/>
    <col min="14852" max="14852" width="9.42578125" style="439" customWidth="1"/>
    <col min="14853" max="14853" width="8.85546875" style="439" customWidth="1"/>
    <col min="14854" max="14854" width="39.140625" style="439" customWidth="1"/>
    <col min="14855" max="14855" width="8.85546875" style="439"/>
    <col min="14856" max="14856" width="9" style="439" bestFit="1" customWidth="1"/>
    <col min="14857" max="15093" width="8.85546875" style="439"/>
    <col min="15094" max="15094" width="3.42578125" style="439" customWidth="1"/>
    <col min="15095" max="15095" width="19.42578125" style="439" customWidth="1"/>
    <col min="15096" max="15096" width="14.42578125" style="439" customWidth="1"/>
    <col min="15097" max="15097" width="9.42578125" style="439" customWidth="1"/>
    <col min="15098" max="15098" width="12.140625" style="439" customWidth="1"/>
    <col min="15099" max="15099" width="9.42578125" style="439" customWidth="1"/>
    <col min="15100" max="15100" width="5.28515625" style="439" customWidth="1"/>
    <col min="15101" max="15101" width="8.85546875" style="439" customWidth="1"/>
    <col min="15102" max="15102" width="9.42578125" style="439" customWidth="1"/>
    <col min="15103" max="15103" width="8.85546875" style="439" customWidth="1"/>
    <col min="15104" max="15104" width="9" style="439" customWidth="1"/>
    <col min="15105" max="15105" width="9.140625" style="439" customWidth="1"/>
    <col min="15106" max="15106" width="7.85546875" style="439" customWidth="1"/>
    <col min="15107" max="15107" width="10.28515625" style="439" customWidth="1"/>
    <col min="15108" max="15108" width="9.42578125" style="439" customWidth="1"/>
    <col min="15109" max="15109" width="8.85546875" style="439" customWidth="1"/>
    <col min="15110" max="15110" width="39.140625" style="439" customWidth="1"/>
    <col min="15111" max="15111" width="8.85546875" style="439"/>
    <col min="15112" max="15112" width="9" style="439" bestFit="1" customWidth="1"/>
    <col min="15113" max="15349" width="8.85546875" style="439"/>
    <col min="15350" max="15350" width="3.42578125" style="439" customWidth="1"/>
    <col min="15351" max="15351" width="19.42578125" style="439" customWidth="1"/>
    <col min="15352" max="15352" width="14.42578125" style="439" customWidth="1"/>
    <col min="15353" max="15353" width="9.42578125" style="439" customWidth="1"/>
    <col min="15354" max="15354" width="12.140625" style="439" customWidth="1"/>
    <col min="15355" max="15355" width="9.42578125" style="439" customWidth="1"/>
    <col min="15356" max="15356" width="5.28515625" style="439" customWidth="1"/>
    <col min="15357" max="15357" width="8.85546875" style="439" customWidth="1"/>
    <col min="15358" max="15358" width="9.42578125" style="439" customWidth="1"/>
    <col min="15359" max="15359" width="8.85546875" style="439" customWidth="1"/>
    <col min="15360" max="15360" width="9" style="439" customWidth="1"/>
    <col min="15361" max="15361" width="9.140625" style="439" customWidth="1"/>
    <col min="15362" max="15362" width="7.85546875" style="439" customWidth="1"/>
    <col min="15363" max="15363" width="10.28515625" style="439" customWidth="1"/>
    <col min="15364" max="15364" width="9.42578125" style="439" customWidth="1"/>
    <col min="15365" max="15365" width="8.85546875" style="439" customWidth="1"/>
    <col min="15366" max="15366" width="39.140625" style="439" customWidth="1"/>
    <col min="15367" max="15367" width="8.85546875" style="439"/>
    <col min="15368" max="15368" width="9" style="439" bestFit="1" customWidth="1"/>
    <col min="15369" max="15605" width="8.85546875" style="439"/>
    <col min="15606" max="15606" width="3.42578125" style="439" customWidth="1"/>
    <col min="15607" max="15607" width="19.42578125" style="439" customWidth="1"/>
    <col min="15608" max="15608" width="14.42578125" style="439" customWidth="1"/>
    <col min="15609" max="15609" width="9.42578125" style="439" customWidth="1"/>
    <col min="15610" max="15610" width="12.140625" style="439" customWidth="1"/>
    <col min="15611" max="15611" width="9.42578125" style="439" customWidth="1"/>
    <col min="15612" max="15612" width="5.28515625" style="439" customWidth="1"/>
    <col min="15613" max="15613" width="8.85546875" style="439" customWidth="1"/>
    <col min="15614" max="15614" width="9.42578125" style="439" customWidth="1"/>
    <col min="15615" max="15615" width="8.85546875" style="439" customWidth="1"/>
    <col min="15616" max="15616" width="9" style="439" customWidth="1"/>
    <col min="15617" max="15617" width="9.140625" style="439" customWidth="1"/>
    <col min="15618" max="15618" width="7.85546875" style="439" customWidth="1"/>
    <col min="15619" max="15619" width="10.28515625" style="439" customWidth="1"/>
    <col min="15620" max="15620" width="9.42578125" style="439" customWidth="1"/>
    <col min="15621" max="15621" width="8.85546875" style="439" customWidth="1"/>
    <col min="15622" max="15622" width="39.140625" style="439" customWidth="1"/>
    <col min="15623" max="15623" width="8.85546875" style="439"/>
    <col min="15624" max="15624" width="9" style="439" bestFit="1" customWidth="1"/>
    <col min="15625" max="15861" width="8.85546875" style="439"/>
    <col min="15862" max="15862" width="3.42578125" style="439" customWidth="1"/>
    <col min="15863" max="15863" width="19.42578125" style="439" customWidth="1"/>
    <col min="15864" max="15864" width="14.42578125" style="439" customWidth="1"/>
    <col min="15865" max="15865" width="9.42578125" style="439" customWidth="1"/>
    <col min="15866" max="15866" width="12.140625" style="439" customWidth="1"/>
    <col min="15867" max="15867" width="9.42578125" style="439" customWidth="1"/>
    <col min="15868" max="15868" width="5.28515625" style="439" customWidth="1"/>
    <col min="15869" max="15869" width="8.85546875" style="439" customWidth="1"/>
    <col min="15870" max="15870" width="9.42578125" style="439" customWidth="1"/>
    <col min="15871" max="15871" width="8.85546875" style="439" customWidth="1"/>
    <col min="15872" max="15872" width="9" style="439" customWidth="1"/>
    <col min="15873" max="15873" width="9.140625" style="439" customWidth="1"/>
    <col min="15874" max="15874" width="7.85546875" style="439" customWidth="1"/>
    <col min="15875" max="15875" width="10.28515625" style="439" customWidth="1"/>
    <col min="15876" max="15876" width="9.42578125" style="439" customWidth="1"/>
    <col min="15877" max="15877" width="8.85546875" style="439" customWidth="1"/>
    <col min="15878" max="15878" width="39.140625" style="439" customWidth="1"/>
    <col min="15879" max="15879" width="8.85546875" style="439"/>
    <col min="15880" max="15880" width="9" style="439" bestFit="1" customWidth="1"/>
    <col min="15881" max="16117" width="8.85546875" style="439"/>
    <col min="16118" max="16118" width="3.42578125" style="439" customWidth="1"/>
    <col min="16119" max="16119" width="19.42578125" style="439" customWidth="1"/>
    <col min="16120" max="16120" width="14.42578125" style="439" customWidth="1"/>
    <col min="16121" max="16121" width="9.42578125" style="439" customWidth="1"/>
    <col min="16122" max="16122" width="12.140625" style="439" customWidth="1"/>
    <col min="16123" max="16123" width="9.42578125" style="439" customWidth="1"/>
    <col min="16124" max="16124" width="5.28515625" style="439" customWidth="1"/>
    <col min="16125" max="16125" width="8.85546875" style="439" customWidth="1"/>
    <col min="16126" max="16126" width="9.42578125" style="439" customWidth="1"/>
    <col min="16127" max="16127" width="8.85546875" style="439" customWidth="1"/>
    <col min="16128" max="16128" width="9" style="439" customWidth="1"/>
    <col min="16129" max="16129" width="9.140625" style="439" customWidth="1"/>
    <col min="16130" max="16130" width="7.85546875" style="439" customWidth="1"/>
    <col min="16131" max="16131" width="10.28515625" style="439" customWidth="1"/>
    <col min="16132" max="16132" width="9.42578125" style="439" customWidth="1"/>
    <col min="16133" max="16133" width="8.85546875" style="439" customWidth="1"/>
    <col min="16134" max="16134" width="39.140625" style="439" customWidth="1"/>
    <col min="16135" max="16135" width="8.85546875" style="439"/>
    <col min="16136" max="16136" width="9" style="439" bestFit="1" customWidth="1"/>
    <col min="16137" max="16384" width="8.85546875" style="439"/>
  </cols>
  <sheetData>
    <row r="1" spans="1:18">
      <c r="A1" s="639"/>
      <c r="B1" s="639"/>
      <c r="C1" s="640"/>
      <c r="D1" s="640"/>
      <c r="E1" s="640"/>
      <c r="F1" s="641"/>
      <c r="G1" s="639"/>
      <c r="H1" s="642"/>
      <c r="I1" s="642"/>
      <c r="J1" s="643"/>
      <c r="K1" s="644"/>
      <c r="L1" s="644"/>
      <c r="M1" s="644"/>
      <c r="N1" s="645"/>
      <c r="O1" s="646"/>
      <c r="P1" s="647"/>
      <c r="Q1" s="722" t="s">
        <v>651</v>
      </c>
    </row>
    <row r="2" spans="1:18">
      <c r="A2" s="935" t="s">
        <v>3101</v>
      </c>
      <c r="B2" s="935"/>
      <c r="C2" s="935"/>
      <c r="D2" s="935"/>
      <c r="E2" s="935"/>
      <c r="F2" s="935"/>
      <c r="G2" s="935"/>
      <c r="H2" s="935"/>
      <c r="I2" s="935"/>
      <c r="J2" s="935"/>
      <c r="K2" s="935"/>
      <c r="L2" s="935"/>
      <c r="M2" s="935"/>
      <c r="N2" s="935"/>
      <c r="O2" s="935"/>
      <c r="P2" s="935"/>
      <c r="Q2" s="935"/>
    </row>
    <row r="3" spans="1:18" ht="7.5" customHeight="1">
      <c r="A3" s="649"/>
      <c r="B3" s="649"/>
      <c r="C3" s="650"/>
      <c r="D3" s="650"/>
      <c r="E3" s="650"/>
      <c r="F3" s="651"/>
      <c r="G3" s="649"/>
      <c r="H3" s="652"/>
      <c r="I3" s="652"/>
      <c r="J3" s="653"/>
      <c r="K3" s="652"/>
      <c r="L3" s="652"/>
      <c r="M3" s="652"/>
      <c r="N3" s="654"/>
      <c r="O3" s="655"/>
      <c r="P3" s="656"/>
      <c r="Q3" s="723"/>
    </row>
    <row r="4" spans="1:18" ht="25.5" customHeight="1">
      <c r="A4" s="936" t="s">
        <v>441</v>
      </c>
      <c r="B4" s="936" t="s">
        <v>652</v>
      </c>
      <c r="C4" s="938" t="s">
        <v>653</v>
      </c>
      <c r="D4" s="938" t="s">
        <v>654</v>
      </c>
      <c r="E4" s="938" t="s">
        <v>655</v>
      </c>
      <c r="F4" s="940" t="s">
        <v>2880</v>
      </c>
      <c r="G4" s="938" t="s">
        <v>656</v>
      </c>
      <c r="H4" s="919" t="s">
        <v>3102</v>
      </c>
      <c r="I4" s="921"/>
      <c r="J4" s="940" t="s">
        <v>2883</v>
      </c>
      <c r="K4" s="919" t="s">
        <v>3103</v>
      </c>
      <c r="L4" s="920"/>
      <c r="M4" s="920"/>
      <c r="N4" s="921"/>
      <c r="O4" s="922" t="s">
        <v>2887</v>
      </c>
      <c r="P4" s="924" t="s">
        <v>2888</v>
      </c>
      <c r="Q4" s="926" t="s">
        <v>657</v>
      </c>
    </row>
    <row r="5" spans="1:18" ht="90">
      <c r="A5" s="937"/>
      <c r="B5" s="937"/>
      <c r="C5" s="939"/>
      <c r="D5" s="939"/>
      <c r="E5" s="939"/>
      <c r="F5" s="941"/>
      <c r="G5" s="939"/>
      <c r="H5" s="679" t="s">
        <v>2881</v>
      </c>
      <c r="I5" s="680" t="s">
        <v>2882</v>
      </c>
      <c r="J5" s="941"/>
      <c r="K5" s="657" t="s">
        <v>442</v>
      </c>
      <c r="L5" s="680" t="s">
        <v>2884</v>
      </c>
      <c r="M5" s="680" t="s">
        <v>2885</v>
      </c>
      <c r="N5" s="658" t="s">
        <v>2886</v>
      </c>
      <c r="O5" s="923"/>
      <c r="P5" s="925"/>
      <c r="Q5" s="927"/>
    </row>
    <row r="6" spans="1:18" ht="15.75" customHeight="1">
      <c r="A6" s="928"/>
      <c r="B6" s="929" t="s">
        <v>658</v>
      </c>
      <c r="C6" s="929"/>
      <c r="D6" s="929"/>
      <c r="E6" s="929"/>
      <c r="F6" s="929"/>
      <c r="G6" s="659" t="s">
        <v>8</v>
      </c>
      <c r="H6" s="638">
        <f>H7+H8+H9+H10</f>
        <v>760545.23860999988</v>
      </c>
      <c r="I6" s="638">
        <f t="shared" ref="I6:M6" si="0">I7+I8+I9+I10</f>
        <v>537789.24462000001</v>
      </c>
      <c r="J6" s="638">
        <f t="shared" si="0"/>
        <v>1081793.52406</v>
      </c>
      <c r="K6" s="638">
        <f t="shared" si="0"/>
        <v>776379.69173999992</v>
      </c>
      <c r="L6" s="638" t="e">
        <f t="shared" si="0"/>
        <v>#REF!</v>
      </c>
      <c r="M6" s="638" t="e">
        <f t="shared" si="0"/>
        <v>#REF!</v>
      </c>
      <c r="N6" s="691" t="e">
        <f>L6/J6</f>
        <v>#REF!</v>
      </c>
      <c r="O6" s="930"/>
      <c r="P6" s="931"/>
      <c r="Q6" s="934"/>
    </row>
    <row r="7" spans="1:18">
      <c r="A7" s="928"/>
      <c r="B7" s="929"/>
      <c r="C7" s="929"/>
      <c r="D7" s="929"/>
      <c r="E7" s="929"/>
      <c r="F7" s="929"/>
      <c r="G7" s="671" t="s">
        <v>305</v>
      </c>
      <c r="H7" s="638">
        <f t="shared" ref="H7:M9" si="1">H13+H18+H23+H28+H33+H38+H43+H48+H53+H58</f>
        <v>272870.39999999997</v>
      </c>
      <c r="I7" s="638">
        <f t="shared" si="1"/>
        <v>259951.35700504659</v>
      </c>
      <c r="J7" s="638">
        <f t="shared" si="1"/>
        <v>826315.70482999994</v>
      </c>
      <c r="K7" s="638">
        <f t="shared" si="1"/>
        <v>556825.63106999989</v>
      </c>
      <c r="L7" s="638">
        <f t="shared" si="1"/>
        <v>260827.44670999999</v>
      </c>
      <c r="M7" s="638">
        <f t="shared" si="1"/>
        <v>10306.176100000001</v>
      </c>
      <c r="N7" s="691">
        <f t="shared" ref="N7:N9" si="2">L7/J7</f>
        <v>0.31565108249232743</v>
      </c>
      <c r="O7" s="930"/>
      <c r="P7" s="932"/>
      <c r="Q7" s="929"/>
    </row>
    <row r="8" spans="1:18">
      <c r="A8" s="928"/>
      <c r="B8" s="929"/>
      <c r="C8" s="929"/>
      <c r="D8" s="929"/>
      <c r="E8" s="929"/>
      <c r="F8" s="929"/>
      <c r="G8" s="671" t="s">
        <v>10</v>
      </c>
      <c r="H8" s="638">
        <f t="shared" si="1"/>
        <v>476350.19999999995</v>
      </c>
      <c r="I8" s="638">
        <f t="shared" si="1"/>
        <v>267248.29447495338</v>
      </c>
      <c r="J8" s="638">
        <f t="shared" si="1"/>
        <v>177607.89696000001</v>
      </c>
      <c r="K8" s="638">
        <f t="shared" si="1"/>
        <v>177607.89696000001</v>
      </c>
      <c r="L8" s="638">
        <f t="shared" si="1"/>
        <v>145078.49696000002</v>
      </c>
      <c r="M8" s="638">
        <f t="shared" si="1"/>
        <v>169104.49650000001</v>
      </c>
      <c r="N8" s="691">
        <f t="shared" si="2"/>
        <v>0.81684710783256387</v>
      </c>
      <c r="O8" s="930"/>
      <c r="P8" s="932"/>
      <c r="Q8" s="929"/>
    </row>
    <row r="9" spans="1:18">
      <c r="A9" s="928"/>
      <c r="B9" s="929"/>
      <c r="C9" s="929"/>
      <c r="D9" s="929"/>
      <c r="E9" s="929"/>
      <c r="F9" s="929"/>
      <c r="G9" s="671" t="s">
        <v>11</v>
      </c>
      <c r="H9" s="638">
        <f t="shared" si="1"/>
        <v>11324.63861</v>
      </c>
      <c r="I9" s="638">
        <f t="shared" si="1"/>
        <v>10589.593140000001</v>
      </c>
      <c r="J9" s="638">
        <f t="shared" si="1"/>
        <v>77869.922269999995</v>
      </c>
      <c r="K9" s="638">
        <f t="shared" si="1"/>
        <v>41946.163710000001</v>
      </c>
      <c r="L9" s="638">
        <f t="shared" si="1"/>
        <v>33072.810150000005</v>
      </c>
      <c r="M9" s="638">
        <f t="shared" si="1"/>
        <v>540.42725000000007</v>
      </c>
      <c r="N9" s="691">
        <f t="shared" si="2"/>
        <v>0.4247186742440292</v>
      </c>
      <c r="O9" s="930"/>
      <c r="P9" s="932"/>
      <c r="Q9" s="929"/>
    </row>
    <row r="10" spans="1:18">
      <c r="A10" s="928"/>
      <c r="B10" s="929"/>
      <c r="C10" s="929"/>
      <c r="D10" s="929"/>
      <c r="E10" s="929"/>
      <c r="F10" s="929"/>
      <c r="G10" s="671" t="s">
        <v>12</v>
      </c>
      <c r="H10" s="638">
        <f>H16+H21+H26+H31+H36+H41+H46+H51+H56+H61</f>
        <v>0</v>
      </c>
      <c r="I10" s="638">
        <f>I16+I21+I26+I31+I36+I41+I46+I51+I56+I61</f>
        <v>0</v>
      </c>
      <c r="J10" s="638">
        <f>J16+J21+J26+J31+J36+J41+J46+J51+J56+J61</f>
        <v>0</v>
      </c>
      <c r="K10" s="638">
        <f>K16+K21+K26+K31+K36+K41+K46+K51+K56+K61</f>
        <v>0</v>
      </c>
      <c r="L10" s="638" t="e">
        <f>L26+#REF!+L31+L36+L41+L46+L51+L56+L61</f>
        <v>#REF!</v>
      </c>
      <c r="M10" s="638" t="e">
        <f>M26+#REF!+M31+M36+M41+M46+M51+M56+M61</f>
        <v>#REF!</v>
      </c>
      <c r="N10" s="691">
        <v>0</v>
      </c>
      <c r="O10" s="930"/>
      <c r="P10" s="933"/>
      <c r="Q10" s="929"/>
    </row>
    <row r="11" spans="1:18" ht="14.25" customHeight="1" outlineLevel="1">
      <c r="A11" s="660"/>
      <c r="B11" s="661" t="s">
        <v>659</v>
      </c>
      <c r="C11" s="671"/>
      <c r="D11" s="671"/>
      <c r="E11" s="671"/>
      <c r="F11" s="672"/>
      <c r="G11" s="660"/>
      <c r="H11" s="662"/>
      <c r="I11" s="662"/>
      <c r="J11" s="638"/>
      <c r="K11" s="662"/>
      <c r="L11" s="662"/>
      <c r="M11" s="662"/>
      <c r="N11" s="669"/>
      <c r="O11" s="660"/>
      <c r="P11" s="662"/>
      <c r="Q11" s="660"/>
    </row>
    <row r="12" spans="1:18" s="648" customFormat="1" ht="45.75" customHeight="1">
      <c r="A12" s="898">
        <v>1</v>
      </c>
      <c r="B12" s="910" t="s">
        <v>661</v>
      </c>
      <c r="C12" s="895" t="s">
        <v>660</v>
      </c>
      <c r="D12" s="895" t="s">
        <v>662</v>
      </c>
      <c r="E12" s="895" t="s">
        <v>663</v>
      </c>
      <c r="F12" s="916" t="s">
        <v>3007</v>
      </c>
      <c r="G12" s="686" t="s">
        <v>8</v>
      </c>
      <c r="H12" s="683">
        <f>H13+H14</f>
        <v>467920.8</v>
      </c>
      <c r="I12" s="683">
        <f>I13+I14</f>
        <v>467920.8</v>
      </c>
      <c r="J12" s="687">
        <f>J13+J14</f>
        <v>8220.8629000000001</v>
      </c>
      <c r="K12" s="687">
        <f t="shared" ref="K12:M12" si="3">SUM(K13:K14)</f>
        <v>0</v>
      </c>
      <c r="L12" s="687">
        <f t="shared" si="3"/>
        <v>0</v>
      </c>
      <c r="M12" s="687">
        <f t="shared" si="3"/>
        <v>0</v>
      </c>
      <c r="N12" s="688">
        <v>0</v>
      </c>
      <c r="O12" s="904">
        <v>1</v>
      </c>
      <c r="P12" s="892">
        <f>500275.8-6413.5-H12</f>
        <v>25941.5</v>
      </c>
      <c r="Q12" s="907" t="s">
        <v>3194</v>
      </c>
      <c r="R12" s="724"/>
    </row>
    <row r="13" spans="1:18" s="648" customFormat="1" ht="22.5" customHeight="1">
      <c r="A13" s="899"/>
      <c r="B13" s="911"/>
      <c r="C13" s="896"/>
      <c r="D13" s="896"/>
      <c r="E13" s="896"/>
      <c r="F13" s="917"/>
      <c r="G13" s="721" t="s">
        <v>9</v>
      </c>
      <c r="H13" s="684">
        <f>81226.5+166327.3+1505.5</f>
        <v>249059.3</v>
      </c>
      <c r="I13" s="684">
        <f>81226.5+166327.3+1505.5</f>
        <v>249059.3</v>
      </c>
      <c r="J13" s="689">
        <f>8220862.9/1000</f>
        <v>8220.8629000000001</v>
      </c>
      <c r="K13" s="689">
        <v>0</v>
      </c>
      <c r="L13" s="689">
        <v>0</v>
      </c>
      <c r="M13" s="687">
        <f t="shared" ref="M13" si="4">SUM(M14:M17)</f>
        <v>0</v>
      </c>
      <c r="N13" s="688">
        <v>0</v>
      </c>
      <c r="O13" s="905"/>
      <c r="P13" s="893"/>
      <c r="Q13" s="908"/>
      <c r="R13" s="724"/>
    </row>
    <row r="14" spans="1:18" s="648" customFormat="1" ht="19.5" customHeight="1">
      <c r="A14" s="899"/>
      <c r="B14" s="911"/>
      <c r="C14" s="896"/>
      <c r="D14" s="896"/>
      <c r="E14" s="896"/>
      <c r="F14" s="917"/>
      <c r="G14" s="721" t="s">
        <v>10</v>
      </c>
      <c r="H14" s="685">
        <f>198861.5+20000</f>
        <v>218861.5</v>
      </c>
      <c r="I14" s="685">
        <f>198861.5+20000</f>
        <v>218861.5</v>
      </c>
      <c r="J14" s="689">
        <v>0</v>
      </c>
      <c r="K14" s="689">
        <v>0</v>
      </c>
      <c r="L14" s="689">
        <v>0</v>
      </c>
      <c r="M14" s="687">
        <f t="shared" ref="M14" si="5">SUM(M17:M18)</f>
        <v>0</v>
      </c>
      <c r="N14" s="688">
        <v>0</v>
      </c>
      <c r="O14" s="905"/>
      <c r="P14" s="893"/>
      <c r="Q14" s="908"/>
      <c r="R14" s="724"/>
    </row>
    <row r="15" spans="1:18" s="648" customFormat="1" ht="19.5" customHeight="1">
      <c r="A15" s="899"/>
      <c r="B15" s="911"/>
      <c r="C15" s="896"/>
      <c r="D15" s="896"/>
      <c r="E15" s="896"/>
      <c r="F15" s="917"/>
      <c r="G15" s="721" t="s">
        <v>11</v>
      </c>
      <c r="H15" s="685">
        <v>0</v>
      </c>
      <c r="I15" s="685">
        <v>0</v>
      </c>
      <c r="J15" s="685">
        <v>0</v>
      </c>
      <c r="K15" s="685">
        <v>0</v>
      </c>
      <c r="L15" s="685">
        <v>0</v>
      </c>
      <c r="M15" s="685">
        <v>0</v>
      </c>
      <c r="N15" s="685">
        <v>0</v>
      </c>
      <c r="O15" s="905"/>
      <c r="P15" s="893"/>
      <c r="Q15" s="908"/>
      <c r="R15" s="724"/>
    </row>
    <row r="16" spans="1:18" s="648" customFormat="1" ht="20.25" customHeight="1">
      <c r="A16" s="900"/>
      <c r="B16" s="912"/>
      <c r="C16" s="897"/>
      <c r="D16" s="897"/>
      <c r="E16" s="897"/>
      <c r="F16" s="918"/>
      <c r="G16" s="721" t="s">
        <v>12</v>
      </c>
      <c r="H16" s="685">
        <v>0</v>
      </c>
      <c r="I16" s="685">
        <v>0</v>
      </c>
      <c r="J16" s="685">
        <v>0</v>
      </c>
      <c r="K16" s="685">
        <v>0</v>
      </c>
      <c r="L16" s="685">
        <v>0</v>
      </c>
      <c r="M16" s="685">
        <v>0</v>
      </c>
      <c r="N16" s="685">
        <v>0</v>
      </c>
      <c r="O16" s="906"/>
      <c r="P16" s="894"/>
      <c r="Q16" s="909"/>
      <c r="R16" s="724"/>
    </row>
    <row r="17" spans="1:37" s="648" customFormat="1" ht="29.25" customHeight="1" outlineLevel="1">
      <c r="A17" s="898">
        <v>2</v>
      </c>
      <c r="B17" s="910" t="s">
        <v>2875</v>
      </c>
      <c r="C17" s="895" t="s">
        <v>2876</v>
      </c>
      <c r="D17" s="895" t="s">
        <v>2877</v>
      </c>
      <c r="E17" s="895" t="s">
        <v>2993</v>
      </c>
      <c r="F17" s="913" t="s">
        <v>2994</v>
      </c>
      <c r="G17" s="686" t="s">
        <v>8</v>
      </c>
      <c r="H17" s="687">
        <f>SUM(H18:H20)</f>
        <v>0</v>
      </c>
      <c r="I17" s="744">
        <v>0</v>
      </c>
      <c r="J17" s="687">
        <v>194613.9</v>
      </c>
      <c r="K17" s="687">
        <f t="shared" ref="K17" si="6">SUM(K18:K20)</f>
        <v>0</v>
      </c>
      <c r="L17" s="687">
        <f>SUM(L18:L20)</f>
        <v>0</v>
      </c>
      <c r="M17" s="687">
        <v>0</v>
      </c>
      <c r="N17" s="688">
        <f>L17/J17</f>
        <v>0</v>
      </c>
      <c r="O17" s="904">
        <v>0</v>
      </c>
      <c r="P17" s="892">
        <f>509175-H17-K17</f>
        <v>509175</v>
      </c>
      <c r="Q17" s="895" t="s">
        <v>3104</v>
      </c>
      <c r="R17" s="724"/>
    </row>
    <row r="18" spans="1:37" s="648" customFormat="1" ht="27.75" customHeight="1" outlineLevel="1">
      <c r="A18" s="899"/>
      <c r="B18" s="911"/>
      <c r="C18" s="896"/>
      <c r="D18" s="896"/>
      <c r="E18" s="896"/>
      <c r="F18" s="914"/>
      <c r="G18" s="721" t="s">
        <v>9</v>
      </c>
      <c r="H18" s="689">
        <v>0</v>
      </c>
      <c r="I18" s="744">
        <v>0</v>
      </c>
      <c r="J18" s="689">
        <v>163281.1</v>
      </c>
      <c r="K18" s="689">
        <v>0</v>
      </c>
      <c r="L18" s="689">
        <v>0</v>
      </c>
      <c r="M18" s="689">
        <v>0</v>
      </c>
      <c r="N18" s="688">
        <f>L18/J18</f>
        <v>0</v>
      </c>
      <c r="O18" s="905"/>
      <c r="P18" s="893"/>
      <c r="Q18" s="896"/>
    </row>
    <row r="19" spans="1:37" s="648" customFormat="1" ht="27.75" customHeight="1" outlineLevel="1">
      <c r="A19" s="899"/>
      <c r="B19" s="911"/>
      <c r="C19" s="896"/>
      <c r="D19" s="896"/>
      <c r="E19" s="896"/>
      <c r="F19" s="914"/>
      <c r="G19" s="721" t="s">
        <v>10</v>
      </c>
      <c r="H19" s="684">
        <v>0</v>
      </c>
      <c r="I19" s="744">
        <v>0</v>
      </c>
      <c r="J19" s="684">
        <v>0</v>
      </c>
      <c r="K19" s="684">
        <v>0</v>
      </c>
      <c r="L19" s="684">
        <v>0</v>
      </c>
      <c r="M19" s="684">
        <v>0</v>
      </c>
      <c r="N19" s="688">
        <v>0</v>
      </c>
      <c r="O19" s="905"/>
      <c r="P19" s="893"/>
      <c r="Q19" s="896"/>
    </row>
    <row r="20" spans="1:37" s="648" customFormat="1" ht="25.5" customHeight="1" outlineLevel="1">
      <c r="A20" s="899"/>
      <c r="B20" s="911"/>
      <c r="C20" s="896"/>
      <c r="D20" s="896"/>
      <c r="E20" s="896"/>
      <c r="F20" s="914"/>
      <c r="G20" s="721" t="s">
        <v>11</v>
      </c>
      <c r="H20" s="689">
        <v>0</v>
      </c>
      <c r="I20" s="744">
        <v>0</v>
      </c>
      <c r="J20" s="689">
        <v>31332.799999999999</v>
      </c>
      <c r="K20" s="689">
        <v>0</v>
      </c>
      <c r="L20" s="689">
        <v>0</v>
      </c>
      <c r="M20" s="689">
        <v>0</v>
      </c>
      <c r="N20" s="688">
        <f>L20/J20</f>
        <v>0</v>
      </c>
      <c r="O20" s="905"/>
      <c r="P20" s="893"/>
      <c r="Q20" s="896"/>
    </row>
    <row r="21" spans="1:37" s="648" customFormat="1" ht="25.5" customHeight="1" outlineLevel="1">
      <c r="A21" s="900"/>
      <c r="B21" s="912"/>
      <c r="C21" s="897"/>
      <c r="D21" s="897"/>
      <c r="E21" s="897"/>
      <c r="F21" s="915"/>
      <c r="G21" s="721" t="s">
        <v>12</v>
      </c>
      <c r="H21" s="684">
        <v>0</v>
      </c>
      <c r="I21" s="744">
        <v>0</v>
      </c>
      <c r="J21" s="684">
        <v>0</v>
      </c>
      <c r="K21" s="684">
        <v>0</v>
      </c>
      <c r="L21" s="684">
        <v>0</v>
      </c>
      <c r="M21" s="684">
        <v>0</v>
      </c>
      <c r="N21" s="688"/>
      <c r="O21" s="906"/>
      <c r="P21" s="894"/>
      <c r="Q21" s="897"/>
    </row>
    <row r="22" spans="1:37" s="648" customFormat="1" ht="20.25" customHeight="1" outlineLevel="1">
      <c r="A22" s="898">
        <v>3</v>
      </c>
      <c r="B22" s="878" t="s">
        <v>2854</v>
      </c>
      <c r="C22" s="878" t="s">
        <v>3177</v>
      </c>
      <c r="D22" s="878" t="s">
        <v>2995</v>
      </c>
      <c r="E22" s="901" t="s">
        <v>3195</v>
      </c>
      <c r="F22" s="902" t="s">
        <v>2997</v>
      </c>
      <c r="G22" s="686" t="s">
        <v>8</v>
      </c>
      <c r="H22" s="689">
        <v>10446.789999999999</v>
      </c>
      <c r="I22" s="689">
        <v>10446.789999999999</v>
      </c>
      <c r="J22" s="689">
        <f t="shared" ref="J22:M22" si="7">SUM(J23:J26)</f>
        <v>108778.95999999999</v>
      </c>
      <c r="K22" s="689">
        <f t="shared" si="7"/>
        <v>93139.961410000004</v>
      </c>
      <c r="L22" s="689">
        <f t="shared" si="7"/>
        <v>93139.961410000004</v>
      </c>
      <c r="M22" s="689">
        <f t="shared" si="7"/>
        <v>0</v>
      </c>
      <c r="N22" s="688">
        <f>L22/J22</f>
        <v>0.85623140182623558</v>
      </c>
      <c r="O22" s="903">
        <f>(L22+H22+M22-2300)/(119225.8-2300)</f>
        <v>0.86624809417596449</v>
      </c>
      <c r="P22" s="892">
        <f>119225.8-H22-K22</f>
        <v>15639.048590000006</v>
      </c>
      <c r="Q22" s="888" t="s">
        <v>3105</v>
      </c>
    </row>
    <row r="23" spans="1:37" s="648" customFormat="1" ht="20.25" customHeight="1" outlineLevel="1">
      <c r="A23" s="899"/>
      <c r="B23" s="878"/>
      <c r="C23" s="878"/>
      <c r="D23" s="878"/>
      <c r="E23" s="901"/>
      <c r="F23" s="902"/>
      <c r="G23" s="721" t="s">
        <v>9</v>
      </c>
      <c r="H23" s="689">
        <v>7970.9</v>
      </c>
      <c r="I23" s="689">
        <v>7970.9</v>
      </c>
      <c r="J23" s="689">
        <v>81584.259999999995</v>
      </c>
      <c r="K23" s="725">
        <f>69854961.41/1000</f>
        <v>69854.961410000004</v>
      </c>
      <c r="L23" s="725">
        <f>69854961.41/1000</f>
        <v>69854.961410000004</v>
      </c>
      <c r="M23" s="689">
        <f>SUM(M24:M26)</f>
        <v>0</v>
      </c>
      <c r="N23" s="688">
        <f t="shared" ref="N23:N25" si="8">L23/J23</f>
        <v>0.85623086377200708</v>
      </c>
      <c r="O23" s="903"/>
      <c r="P23" s="893"/>
      <c r="Q23" s="888"/>
    </row>
    <row r="24" spans="1:37" s="648" customFormat="1" ht="20.25" customHeight="1" outlineLevel="1">
      <c r="A24" s="899"/>
      <c r="B24" s="878"/>
      <c r="C24" s="878"/>
      <c r="D24" s="878"/>
      <c r="E24" s="901"/>
      <c r="F24" s="902"/>
      <c r="G24" s="721" t="s">
        <v>10</v>
      </c>
      <c r="H24" s="689">
        <v>0</v>
      </c>
      <c r="I24" s="689">
        <v>2475.89</v>
      </c>
      <c r="J24" s="689"/>
      <c r="K24" s="689">
        <v>0</v>
      </c>
      <c r="L24" s="689">
        <v>0</v>
      </c>
      <c r="M24" s="689">
        <f>SUM(M25:M26)</f>
        <v>0</v>
      </c>
      <c r="N24" s="688">
        <v>0</v>
      </c>
      <c r="O24" s="903"/>
      <c r="P24" s="893"/>
      <c r="Q24" s="888"/>
      <c r="R24" s="724"/>
      <c r="S24" s="724"/>
      <c r="T24" s="724"/>
      <c r="U24" s="724"/>
      <c r="V24" s="724"/>
      <c r="W24" s="724"/>
      <c r="X24" s="724"/>
      <c r="Y24" s="724"/>
      <c r="Z24" s="724"/>
      <c r="AA24" s="724"/>
      <c r="AB24" s="724"/>
      <c r="AC24" s="724"/>
      <c r="AD24" s="724"/>
      <c r="AE24" s="724"/>
      <c r="AF24" s="724"/>
      <c r="AG24" s="724"/>
      <c r="AH24" s="724"/>
      <c r="AI24" s="724"/>
      <c r="AJ24" s="724"/>
      <c r="AK24" s="724"/>
    </row>
    <row r="25" spans="1:37" s="665" customFormat="1" ht="20.25" customHeight="1">
      <c r="A25" s="899"/>
      <c r="B25" s="878"/>
      <c r="C25" s="878"/>
      <c r="D25" s="878"/>
      <c r="E25" s="901"/>
      <c r="F25" s="902"/>
      <c r="G25" s="721" t="s">
        <v>11</v>
      </c>
      <c r="H25" s="690">
        <v>2475.89</v>
      </c>
      <c r="I25" s="690">
        <v>2475.89</v>
      </c>
      <c r="J25" s="690">
        <v>27194.7</v>
      </c>
      <c r="K25" s="725">
        <f>23285</f>
        <v>23285</v>
      </c>
      <c r="L25" s="725">
        <f>23285</f>
        <v>23285</v>
      </c>
      <c r="M25" s="689">
        <f>SUM(M26:M26)</f>
        <v>0</v>
      </c>
      <c r="N25" s="688">
        <f t="shared" si="8"/>
        <v>0.85623301599208668</v>
      </c>
      <c r="O25" s="903"/>
      <c r="P25" s="893"/>
      <c r="Q25" s="888"/>
      <c r="R25" s="674"/>
      <c r="S25" s="674"/>
      <c r="T25" s="674"/>
      <c r="U25" s="674"/>
      <c r="V25" s="674"/>
      <c r="W25" s="674"/>
      <c r="X25" s="674"/>
      <c r="Y25" s="674"/>
      <c r="Z25" s="674"/>
      <c r="AA25" s="674"/>
      <c r="AB25" s="674"/>
      <c r="AC25" s="674"/>
      <c r="AD25" s="674"/>
      <c r="AE25" s="674"/>
      <c r="AF25" s="674"/>
      <c r="AG25" s="674"/>
      <c r="AH25" s="674"/>
      <c r="AI25" s="674"/>
      <c r="AJ25" s="674"/>
      <c r="AK25" s="674"/>
    </row>
    <row r="26" spans="1:37" s="665" customFormat="1" ht="97.5" customHeight="1">
      <c r="A26" s="900"/>
      <c r="B26" s="878"/>
      <c r="C26" s="878"/>
      <c r="D26" s="878"/>
      <c r="E26" s="901"/>
      <c r="F26" s="902"/>
      <c r="G26" s="721" t="s">
        <v>12</v>
      </c>
      <c r="H26" s="690">
        <v>0</v>
      </c>
      <c r="I26" s="690">
        <v>0</v>
      </c>
      <c r="J26" s="690">
        <v>0</v>
      </c>
      <c r="K26" s="690">
        <v>0</v>
      </c>
      <c r="L26" s="690">
        <v>0</v>
      </c>
      <c r="M26" s="689">
        <v>0</v>
      </c>
      <c r="N26" s="688">
        <v>0</v>
      </c>
      <c r="O26" s="903"/>
      <c r="P26" s="894"/>
      <c r="Q26" s="888"/>
      <c r="R26" s="674"/>
      <c r="S26" s="674"/>
      <c r="T26" s="674"/>
      <c r="U26" s="674"/>
      <c r="V26" s="674"/>
      <c r="W26" s="674"/>
      <c r="X26" s="674"/>
      <c r="Y26" s="674"/>
      <c r="Z26" s="674"/>
      <c r="AA26" s="674"/>
      <c r="AB26" s="674"/>
      <c r="AC26" s="674"/>
      <c r="AD26" s="674"/>
      <c r="AE26" s="674"/>
      <c r="AF26" s="674"/>
      <c r="AG26" s="674"/>
      <c r="AH26" s="674"/>
      <c r="AI26" s="674"/>
      <c r="AJ26" s="674"/>
      <c r="AK26" s="674"/>
    </row>
    <row r="27" spans="1:37" s="726" customFormat="1" ht="21" customHeight="1">
      <c r="A27" s="866">
        <v>5</v>
      </c>
      <c r="B27" s="878" t="s">
        <v>2919</v>
      </c>
      <c r="C27" s="878" t="s">
        <v>2999</v>
      </c>
      <c r="D27" s="878" t="s">
        <v>2998</v>
      </c>
      <c r="E27" s="878" t="s">
        <v>2996</v>
      </c>
      <c r="F27" s="887" t="s">
        <v>3003</v>
      </c>
      <c r="G27" s="686" t="s">
        <v>8</v>
      </c>
      <c r="H27" s="692">
        <f>SUM(H28:H31)</f>
        <v>0</v>
      </c>
      <c r="I27" s="692">
        <f>SUM(I28:I31)</f>
        <v>0</v>
      </c>
      <c r="J27" s="692">
        <f t="shared" ref="J27:M30" si="9">SUM(J28:J31)</f>
        <v>5000</v>
      </c>
      <c r="K27" s="692">
        <f t="shared" si="9"/>
        <v>0</v>
      </c>
      <c r="L27" s="692">
        <f t="shared" si="9"/>
        <v>0</v>
      </c>
      <c r="M27" s="692">
        <f t="shared" si="9"/>
        <v>0</v>
      </c>
      <c r="N27" s="691">
        <f>L27/J27</f>
        <v>0</v>
      </c>
      <c r="O27" s="882">
        <v>0</v>
      </c>
      <c r="P27" s="889">
        <v>5000</v>
      </c>
      <c r="Q27" s="888" t="s">
        <v>3106</v>
      </c>
      <c r="R27" s="724"/>
      <c r="S27" s="724"/>
      <c r="T27" s="724"/>
      <c r="U27" s="724"/>
      <c r="V27" s="724"/>
      <c r="W27" s="724"/>
      <c r="X27" s="724"/>
      <c r="Y27" s="724"/>
      <c r="Z27" s="724"/>
      <c r="AA27" s="724"/>
      <c r="AB27" s="724"/>
      <c r="AC27" s="724"/>
      <c r="AD27" s="724"/>
      <c r="AE27" s="724"/>
      <c r="AF27" s="724"/>
      <c r="AG27" s="724"/>
      <c r="AH27" s="724"/>
      <c r="AI27" s="724"/>
      <c r="AJ27" s="724"/>
      <c r="AK27" s="724"/>
    </row>
    <row r="28" spans="1:37" s="726" customFormat="1" ht="24" customHeight="1">
      <c r="A28" s="867"/>
      <c r="B28" s="878"/>
      <c r="C28" s="878"/>
      <c r="D28" s="878"/>
      <c r="E28" s="878"/>
      <c r="F28" s="887"/>
      <c r="G28" s="721" t="s">
        <v>9</v>
      </c>
      <c r="H28" s="692">
        <v>0</v>
      </c>
      <c r="I28" s="692">
        <v>0</v>
      </c>
      <c r="J28" s="692">
        <v>4750</v>
      </c>
      <c r="K28" s="692">
        <v>0</v>
      </c>
      <c r="L28" s="692">
        <v>0</v>
      </c>
      <c r="M28" s="692">
        <f t="shared" si="9"/>
        <v>0</v>
      </c>
      <c r="N28" s="691">
        <f t="shared" ref="N28" si="10">L28/J28</f>
        <v>0</v>
      </c>
      <c r="O28" s="870"/>
      <c r="P28" s="890"/>
      <c r="Q28" s="888"/>
      <c r="R28" s="724"/>
      <c r="S28" s="724"/>
      <c r="T28" s="724"/>
      <c r="U28" s="724"/>
      <c r="V28" s="724"/>
      <c r="W28" s="724"/>
      <c r="X28" s="724"/>
      <c r="Y28" s="724"/>
      <c r="Z28" s="724"/>
      <c r="AA28" s="724"/>
      <c r="AB28" s="724"/>
      <c r="AC28" s="724"/>
      <c r="AD28" s="724"/>
      <c r="AE28" s="724"/>
      <c r="AF28" s="724"/>
      <c r="AG28" s="724"/>
      <c r="AH28" s="724"/>
      <c r="AI28" s="724"/>
      <c r="AJ28" s="724"/>
      <c r="AK28" s="724"/>
    </row>
    <row r="29" spans="1:37" s="726" customFormat="1" ht="21" customHeight="1">
      <c r="A29" s="867"/>
      <c r="B29" s="878"/>
      <c r="C29" s="878"/>
      <c r="D29" s="878"/>
      <c r="E29" s="878"/>
      <c r="F29" s="887"/>
      <c r="G29" s="721" t="s">
        <v>10</v>
      </c>
      <c r="H29" s="692">
        <v>0</v>
      </c>
      <c r="I29" s="692">
        <v>0</v>
      </c>
      <c r="J29" s="692">
        <v>0</v>
      </c>
      <c r="K29" s="692">
        <v>0</v>
      </c>
      <c r="L29" s="692">
        <v>0</v>
      </c>
      <c r="M29" s="692">
        <f t="shared" si="9"/>
        <v>0</v>
      </c>
      <c r="N29" s="691">
        <v>0</v>
      </c>
      <c r="O29" s="870"/>
      <c r="P29" s="890"/>
      <c r="Q29" s="888"/>
      <c r="R29" s="724"/>
      <c r="S29" s="724"/>
      <c r="T29" s="724"/>
      <c r="U29" s="724"/>
      <c r="V29" s="724"/>
      <c r="W29" s="724"/>
      <c r="X29" s="724"/>
      <c r="Y29" s="724"/>
      <c r="Z29" s="724"/>
      <c r="AA29" s="724"/>
      <c r="AB29" s="724"/>
      <c r="AC29" s="724"/>
      <c r="AD29" s="724"/>
      <c r="AE29" s="724"/>
      <c r="AF29" s="724"/>
      <c r="AG29" s="724"/>
      <c r="AH29" s="724"/>
      <c r="AI29" s="724"/>
      <c r="AJ29" s="724"/>
      <c r="AK29" s="724"/>
    </row>
    <row r="30" spans="1:37" s="726" customFormat="1" ht="18" customHeight="1">
      <c r="A30" s="867"/>
      <c r="B30" s="878"/>
      <c r="C30" s="878"/>
      <c r="D30" s="878"/>
      <c r="E30" s="878"/>
      <c r="F30" s="887"/>
      <c r="G30" s="721" t="s">
        <v>11</v>
      </c>
      <c r="H30" s="692">
        <v>0</v>
      </c>
      <c r="I30" s="692">
        <v>0</v>
      </c>
      <c r="J30" s="692">
        <v>250</v>
      </c>
      <c r="K30" s="692">
        <v>0</v>
      </c>
      <c r="L30" s="692">
        <v>0</v>
      </c>
      <c r="M30" s="692">
        <f t="shared" si="9"/>
        <v>0</v>
      </c>
      <c r="N30" s="691">
        <v>0</v>
      </c>
      <c r="O30" s="870"/>
      <c r="P30" s="890"/>
      <c r="Q30" s="888"/>
      <c r="R30" s="724"/>
      <c r="S30" s="724"/>
      <c r="T30" s="724"/>
      <c r="U30" s="724"/>
      <c r="V30" s="724"/>
      <c r="W30" s="724"/>
      <c r="X30" s="724"/>
      <c r="Y30" s="724"/>
      <c r="Z30" s="724"/>
      <c r="AA30" s="724"/>
      <c r="AB30" s="724"/>
      <c r="AC30" s="724"/>
      <c r="AD30" s="724"/>
      <c r="AE30" s="724"/>
      <c r="AF30" s="724"/>
      <c r="AG30" s="724"/>
      <c r="AH30" s="724"/>
      <c r="AI30" s="724"/>
      <c r="AJ30" s="724"/>
      <c r="AK30" s="724"/>
    </row>
    <row r="31" spans="1:37" s="726" customFormat="1" ht="27" customHeight="1">
      <c r="A31" s="868"/>
      <c r="B31" s="878"/>
      <c r="C31" s="878"/>
      <c r="D31" s="878"/>
      <c r="E31" s="878"/>
      <c r="F31" s="887"/>
      <c r="G31" s="721" t="s">
        <v>12</v>
      </c>
      <c r="H31" s="692">
        <v>0</v>
      </c>
      <c r="I31" s="692">
        <v>0</v>
      </c>
      <c r="J31" s="692">
        <v>0</v>
      </c>
      <c r="K31" s="692">
        <v>0</v>
      </c>
      <c r="L31" s="692">
        <v>0</v>
      </c>
      <c r="M31" s="692">
        <v>0</v>
      </c>
      <c r="N31" s="691">
        <v>0</v>
      </c>
      <c r="O31" s="871"/>
      <c r="P31" s="891"/>
      <c r="Q31" s="888"/>
      <c r="R31" s="724"/>
      <c r="S31" s="724"/>
      <c r="T31" s="724"/>
      <c r="U31" s="724"/>
      <c r="V31" s="724"/>
      <c r="W31" s="724"/>
      <c r="X31" s="724"/>
      <c r="Y31" s="724"/>
      <c r="Z31" s="724"/>
      <c r="AA31" s="724"/>
      <c r="AB31" s="724"/>
      <c r="AC31" s="724"/>
      <c r="AD31" s="724"/>
      <c r="AE31" s="724"/>
      <c r="AF31" s="724"/>
      <c r="AG31" s="724"/>
      <c r="AH31" s="724"/>
      <c r="AI31" s="724"/>
      <c r="AJ31" s="724"/>
      <c r="AK31" s="724"/>
    </row>
    <row r="32" spans="1:37" s="726" customFormat="1" ht="21" customHeight="1">
      <c r="A32" s="866">
        <v>6</v>
      </c>
      <c r="B32" s="878" t="s">
        <v>2920</v>
      </c>
      <c r="C32" s="878" t="s">
        <v>3000</v>
      </c>
      <c r="D32" s="878" t="s">
        <v>2998</v>
      </c>
      <c r="E32" s="878" t="s">
        <v>2996</v>
      </c>
      <c r="F32" s="887" t="s">
        <v>3004</v>
      </c>
      <c r="G32" s="686" t="s">
        <v>8</v>
      </c>
      <c r="H32" s="692">
        <f>SUM(H33:H36)</f>
        <v>0</v>
      </c>
      <c r="I32" s="692">
        <f>SUM(I33:I36)</f>
        <v>0</v>
      </c>
      <c r="J32" s="692">
        <f t="shared" ref="J32:M32" si="11">SUM(J33:J36)</f>
        <v>6717.2</v>
      </c>
      <c r="K32" s="692">
        <f t="shared" si="11"/>
        <v>0</v>
      </c>
      <c r="L32" s="692">
        <f t="shared" si="11"/>
        <v>0</v>
      </c>
      <c r="M32" s="692">
        <f t="shared" si="11"/>
        <v>0</v>
      </c>
      <c r="N32" s="691">
        <v>0</v>
      </c>
      <c r="O32" s="882">
        <v>0</v>
      </c>
      <c r="P32" s="879">
        <v>6717.2</v>
      </c>
      <c r="Q32" s="886" t="s">
        <v>3014</v>
      </c>
      <c r="R32" s="724"/>
      <c r="S32" s="724"/>
      <c r="T32" s="724"/>
      <c r="U32" s="724"/>
      <c r="V32" s="724"/>
      <c r="W32" s="724"/>
      <c r="X32" s="724"/>
      <c r="Y32" s="724"/>
      <c r="Z32" s="724"/>
      <c r="AA32" s="724"/>
      <c r="AB32" s="724"/>
      <c r="AC32" s="724"/>
      <c r="AD32" s="724"/>
      <c r="AE32" s="724"/>
      <c r="AF32" s="724"/>
      <c r="AG32" s="724"/>
      <c r="AH32" s="724"/>
      <c r="AI32" s="724"/>
      <c r="AJ32" s="724"/>
      <c r="AK32" s="724"/>
    </row>
    <row r="33" spans="1:37" s="726" customFormat="1" ht="24.75" customHeight="1">
      <c r="A33" s="867"/>
      <c r="B33" s="878"/>
      <c r="C33" s="878"/>
      <c r="D33" s="878"/>
      <c r="E33" s="878"/>
      <c r="F33" s="887"/>
      <c r="G33" s="721" t="s">
        <v>9</v>
      </c>
      <c r="H33" s="692">
        <v>0</v>
      </c>
      <c r="I33" s="692">
        <v>0</v>
      </c>
      <c r="J33" s="692">
        <v>6650</v>
      </c>
      <c r="K33" s="692">
        <v>0</v>
      </c>
      <c r="L33" s="692">
        <v>0</v>
      </c>
      <c r="M33" s="692">
        <v>0</v>
      </c>
      <c r="N33" s="691">
        <v>0</v>
      </c>
      <c r="O33" s="870"/>
      <c r="P33" s="880"/>
      <c r="Q33" s="886"/>
      <c r="R33" s="724"/>
      <c r="S33" s="724"/>
      <c r="T33" s="724"/>
      <c r="U33" s="724"/>
      <c r="V33" s="724"/>
      <c r="W33" s="724"/>
      <c r="X33" s="724"/>
      <c r="Y33" s="724"/>
      <c r="Z33" s="724"/>
      <c r="AA33" s="724"/>
      <c r="AB33" s="724"/>
      <c r="AC33" s="724"/>
      <c r="AD33" s="724"/>
      <c r="AE33" s="724"/>
      <c r="AF33" s="724"/>
      <c r="AG33" s="724"/>
      <c r="AH33" s="724"/>
      <c r="AI33" s="724"/>
      <c r="AJ33" s="724"/>
      <c r="AK33" s="724"/>
    </row>
    <row r="34" spans="1:37" s="726" customFormat="1" ht="25.5" customHeight="1">
      <c r="A34" s="867"/>
      <c r="B34" s="878"/>
      <c r="C34" s="878"/>
      <c r="D34" s="878"/>
      <c r="E34" s="878"/>
      <c r="F34" s="887"/>
      <c r="G34" s="721" t="s">
        <v>10</v>
      </c>
      <c r="H34" s="692">
        <v>0</v>
      </c>
      <c r="I34" s="692">
        <v>0</v>
      </c>
      <c r="J34" s="692">
        <v>0</v>
      </c>
      <c r="K34" s="692">
        <v>0</v>
      </c>
      <c r="L34" s="692">
        <v>0</v>
      </c>
      <c r="M34" s="692">
        <v>0</v>
      </c>
      <c r="N34" s="691">
        <v>0</v>
      </c>
      <c r="O34" s="870"/>
      <c r="P34" s="880"/>
      <c r="Q34" s="886"/>
      <c r="R34" s="724"/>
      <c r="S34" s="724"/>
      <c r="T34" s="724"/>
      <c r="U34" s="724"/>
      <c r="V34" s="724"/>
      <c r="W34" s="724"/>
      <c r="X34" s="724"/>
      <c r="Y34" s="724"/>
      <c r="Z34" s="724"/>
      <c r="AA34" s="724"/>
      <c r="AB34" s="724"/>
      <c r="AC34" s="724"/>
      <c r="AD34" s="724"/>
      <c r="AE34" s="724"/>
      <c r="AF34" s="724"/>
      <c r="AG34" s="724"/>
      <c r="AH34" s="724"/>
      <c r="AI34" s="724"/>
      <c r="AJ34" s="724"/>
      <c r="AK34" s="724"/>
    </row>
    <row r="35" spans="1:37" s="726" customFormat="1" ht="24.75" customHeight="1">
      <c r="A35" s="867"/>
      <c r="B35" s="878"/>
      <c r="C35" s="878"/>
      <c r="D35" s="878"/>
      <c r="E35" s="878"/>
      <c r="F35" s="887"/>
      <c r="G35" s="721" t="s">
        <v>11</v>
      </c>
      <c r="H35" s="692">
        <v>0</v>
      </c>
      <c r="I35" s="692">
        <v>0</v>
      </c>
      <c r="J35" s="692">
        <v>67.2</v>
      </c>
      <c r="K35" s="692">
        <v>0</v>
      </c>
      <c r="L35" s="692">
        <v>0</v>
      </c>
      <c r="M35" s="692">
        <v>0</v>
      </c>
      <c r="N35" s="691">
        <v>0</v>
      </c>
      <c r="O35" s="870"/>
      <c r="P35" s="880"/>
      <c r="Q35" s="886"/>
      <c r="R35" s="724"/>
      <c r="S35" s="724"/>
      <c r="T35" s="724"/>
      <c r="U35" s="724"/>
      <c r="V35" s="724"/>
      <c r="W35" s="724"/>
      <c r="X35" s="724"/>
      <c r="Y35" s="724"/>
      <c r="Z35" s="724"/>
      <c r="AA35" s="724"/>
      <c r="AB35" s="724"/>
      <c r="AC35" s="724"/>
      <c r="AD35" s="724"/>
      <c r="AE35" s="724"/>
      <c r="AF35" s="724"/>
      <c r="AG35" s="724"/>
      <c r="AH35" s="724"/>
      <c r="AI35" s="724"/>
      <c r="AJ35" s="724"/>
      <c r="AK35" s="724"/>
    </row>
    <row r="36" spans="1:37" s="726" customFormat="1" ht="24" customHeight="1">
      <c r="A36" s="868"/>
      <c r="B36" s="878"/>
      <c r="C36" s="878"/>
      <c r="D36" s="878"/>
      <c r="E36" s="878"/>
      <c r="F36" s="887"/>
      <c r="G36" s="721" t="s">
        <v>12</v>
      </c>
      <c r="H36" s="692">
        <v>0</v>
      </c>
      <c r="I36" s="692">
        <v>0</v>
      </c>
      <c r="J36" s="692">
        <v>0</v>
      </c>
      <c r="K36" s="692">
        <v>0</v>
      </c>
      <c r="L36" s="692">
        <v>0</v>
      </c>
      <c r="M36" s="692">
        <v>0</v>
      </c>
      <c r="N36" s="691">
        <v>0</v>
      </c>
      <c r="O36" s="871"/>
      <c r="P36" s="881"/>
      <c r="Q36" s="886"/>
      <c r="R36" s="724"/>
      <c r="S36" s="724"/>
      <c r="T36" s="724"/>
      <c r="U36" s="724"/>
      <c r="V36" s="724"/>
      <c r="W36" s="724"/>
      <c r="X36" s="724"/>
      <c r="Y36" s="724"/>
      <c r="Z36" s="724"/>
      <c r="AA36" s="724"/>
      <c r="AB36" s="724"/>
      <c r="AC36" s="724"/>
      <c r="AD36" s="724"/>
      <c r="AE36" s="724"/>
      <c r="AF36" s="724"/>
      <c r="AG36" s="724"/>
      <c r="AH36" s="724"/>
      <c r="AI36" s="724"/>
      <c r="AJ36" s="724"/>
      <c r="AK36" s="724"/>
    </row>
    <row r="37" spans="1:37" s="726" customFormat="1" ht="24" customHeight="1">
      <c r="A37" s="866">
        <v>7</v>
      </c>
      <c r="B37" s="869" t="s">
        <v>2921</v>
      </c>
      <c r="C37" s="869" t="s">
        <v>3001</v>
      </c>
      <c r="D37" s="878" t="s">
        <v>2998</v>
      </c>
      <c r="E37" s="878" t="s">
        <v>2996</v>
      </c>
      <c r="F37" s="879" t="s">
        <v>3005</v>
      </c>
      <c r="G37" s="721" t="s">
        <v>8</v>
      </c>
      <c r="H37" s="692">
        <f>SUM(H38:H41)</f>
        <v>0</v>
      </c>
      <c r="I37" s="692">
        <f>SUM(I38:I41)</f>
        <v>0</v>
      </c>
      <c r="J37" s="692">
        <f t="shared" ref="J37:M37" si="12">SUM(J38:J41)</f>
        <v>6815</v>
      </c>
      <c r="K37" s="692">
        <f t="shared" si="12"/>
        <v>0</v>
      </c>
      <c r="L37" s="692">
        <f t="shared" si="12"/>
        <v>0</v>
      </c>
      <c r="M37" s="692">
        <f t="shared" si="12"/>
        <v>0</v>
      </c>
      <c r="N37" s="691">
        <f>L37/J37</f>
        <v>0</v>
      </c>
      <c r="O37" s="882">
        <v>0</v>
      </c>
      <c r="P37" s="879">
        <v>6815.8</v>
      </c>
      <c r="Q37" s="845" t="s">
        <v>3107</v>
      </c>
      <c r="R37" s="724"/>
      <c r="S37" s="724"/>
      <c r="T37" s="724"/>
      <c r="U37" s="724"/>
      <c r="V37" s="724"/>
      <c r="W37" s="724"/>
      <c r="X37" s="724"/>
      <c r="Y37" s="724"/>
      <c r="Z37" s="724"/>
      <c r="AA37" s="724"/>
      <c r="AB37" s="724"/>
      <c r="AC37" s="724"/>
      <c r="AD37" s="724"/>
      <c r="AE37" s="724"/>
      <c r="AF37" s="724"/>
      <c r="AG37" s="724"/>
      <c r="AH37" s="724"/>
      <c r="AI37" s="724"/>
      <c r="AJ37" s="724"/>
      <c r="AK37" s="724"/>
    </row>
    <row r="38" spans="1:37" s="726" customFormat="1" ht="24" customHeight="1">
      <c r="A38" s="867"/>
      <c r="B38" s="870"/>
      <c r="C38" s="870"/>
      <c r="D38" s="878"/>
      <c r="E38" s="878"/>
      <c r="F38" s="880"/>
      <c r="G38" s="721" t="s">
        <v>9</v>
      </c>
      <c r="H38" s="692">
        <v>0</v>
      </c>
      <c r="I38" s="692">
        <v>0</v>
      </c>
      <c r="J38" s="692">
        <v>6475</v>
      </c>
      <c r="K38" s="692">
        <v>0</v>
      </c>
      <c r="L38" s="692">
        <v>0</v>
      </c>
      <c r="M38" s="692">
        <v>0</v>
      </c>
      <c r="N38" s="691">
        <f t="shared" ref="N38" si="13">L38/J38</f>
        <v>0</v>
      </c>
      <c r="O38" s="870"/>
      <c r="P38" s="880"/>
      <c r="Q38" s="846"/>
      <c r="R38" s="724"/>
      <c r="S38" s="724"/>
      <c r="T38" s="724"/>
      <c r="U38" s="724"/>
      <c r="V38" s="724"/>
      <c r="W38" s="724"/>
      <c r="X38" s="724"/>
      <c r="Y38" s="724"/>
      <c r="Z38" s="724"/>
      <c r="AA38" s="724"/>
      <c r="AB38" s="724"/>
      <c r="AC38" s="724"/>
      <c r="AD38" s="724"/>
      <c r="AE38" s="724"/>
      <c r="AF38" s="724"/>
      <c r="AG38" s="724"/>
      <c r="AH38" s="724"/>
      <c r="AI38" s="724"/>
      <c r="AJ38" s="724"/>
      <c r="AK38" s="724"/>
    </row>
    <row r="39" spans="1:37" s="726" customFormat="1" ht="24" customHeight="1">
      <c r="A39" s="867"/>
      <c r="B39" s="870"/>
      <c r="C39" s="870"/>
      <c r="D39" s="878"/>
      <c r="E39" s="878"/>
      <c r="F39" s="880"/>
      <c r="G39" s="721" t="s">
        <v>10</v>
      </c>
      <c r="H39" s="692">
        <v>0</v>
      </c>
      <c r="I39" s="692">
        <v>0</v>
      </c>
      <c r="J39" s="692">
        <v>0</v>
      </c>
      <c r="K39" s="692">
        <v>0</v>
      </c>
      <c r="L39" s="692">
        <v>0</v>
      </c>
      <c r="M39" s="692">
        <v>0</v>
      </c>
      <c r="N39" s="691">
        <v>0</v>
      </c>
      <c r="O39" s="870"/>
      <c r="P39" s="880"/>
      <c r="Q39" s="846"/>
      <c r="R39" s="724"/>
      <c r="S39" s="724"/>
      <c r="T39" s="724"/>
      <c r="U39" s="724"/>
      <c r="V39" s="724"/>
      <c r="W39" s="724"/>
      <c r="X39" s="724"/>
      <c r="Y39" s="724"/>
      <c r="Z39" s="724"/>
      <c r="AA39" s="724"/>
      <c r="AB39" s="724"/>
      <c r="AC39" s="724"/>
      <c r="AD39" s="724"/>
      <c r="AE39" s="724"/>
      <c r="AF39" s="724"/>
      <c r="AG39" s="724"/>
      <c r="AH39" s="724"/>
      <c r="AI39" s="724"/>
      <c r="AJ39" s="724"/>
      <c r="AK39" s="724"/>
    </row>
    <row r="40" spans="1:37" s="726" customFormat="1" ht="24" customHeight="1">
      <c r="A40" s="867"/>
      <c r="B40" s="870"/>
      <c r="C40" s="870"/>
      <c r="D40" s="878"/>
      <c r="E40" s="878"/>
      <c r="F40" s="880"/>
      <c r="G40" s="721" t="s">
        <v>11</v>
      </c>
      <c r="H40" s="692">
        <v>0</v>
      </c>
      <c r="I40" s="692">
        <v>0</v>
      </c>
      <c r="J40" s="692">
        <v>340</v>
      </c>
      <c r="K40" s="692">
        <v>0</v>
      </c>
      <c r="L40" s="692">
        <v>0</v>
      </c>
      <c r="M40" s="692">
        <v>0</v>
      </c>
      <c r="N40" s="691">
        <v>0</v>
      </c>
      <c r="O40" s="870"/>
      <c r="P40" s="880"/>
      <c r="Q40" s="846"/>
      <c r="R40" s="724"/>
      <c r="S40" s="724"/>
      <c r="T40" s="724"/>
      <c r="U40" s="724"/>
      <c r="V40" s="724"/>
      <c r="W40" s="724"/>
      <c r="X40" s="724"/>
      <c r="Y40" s="724"/>
      <c r="Z40" s="724"/>
      <c r="AA40" s="724"/>
      <c r="AB40" s="724"/>
      <c r="AC40" s="724"/>
      <c r="AD40" s="724"/>
      <c r="AE40" s="724"/>
      <c r="AF40" s="724"/>
      <c r="AG40" s="724"/>
      <c r="AH40" s="724"/>
      <c r="AI40" s="724"/>
      <c r="AJ40" s="724"/>
      <c r="AK40" s="724"/>
    </row>
    <row r="41" spans="1:37" s="726" customFormat="1" ht="24" customHeight="1">
      <c r="A41" s="868"/>
      <c r="B41" s="871"/>
      <c r="C41" s="871"/>
      <c r="D41" s="878"/>
      <c r="E41" s="878"/>
      <c r="F41" s="881"/>
      <c r="G41" s="721" t="s">
        <v>12</v>
      </c>
      <c r="H41" s="692">
        <v>0</v>
      </c>
      <c r="I41" s="692">
        <v>0</v>
      </c>
      <c r="J41" s="692">
        <v>0</v>
      </c>
      <c r="K41" s="692">
        <v>0</v>
      </c>
      <c r="L41" s="692">
        <v>0</v>
      </c>
      <c r="M41" s="692">
        <v>0</v>
      </c>
      <c r="N41" s="691">
        <v>0</v>
      </c>
      <c r="O41" s="871"/>
      <c r="P41" s="881"/>
      <c r="Q41" s="847"/>
      <c r="R41" s="724"/>
      <c r="S41" s="724"/>
      <c r="T41" s="724"/>
      <c r="U41" s="724"/>
      <c r="V41" s="724"/>
      <c r="W41" s="724"/>
      <c r="X41" s="724"/>
      <c r="Y41" s="724"/>
      <c r="Z41" s="724"/>
      <c r="AA41" s="724"/>
      <c r="AB41" s="724"/>
      <c r="AC41" s="724"/>
      <c r="AD41" s="724"/>
      <c r="AE41" s="724"/>
      <c r="AF41" s="724"/>
      <c r="AG41" s="724"/>
      <c r="AH41" s="724"/>
      <c r="AI41" s="724"/>
      <c r="AJ41" s="724"/>
      <c r="AK41" s="724"/>
    </row>
    <row r="42" spans="1:37" s="726" customFormat="1" ht="24" customHeight="1">
      <c r="A42" s="866">
        <v>8</v>
      </c>
      <c r="B42" s="869" t="s">
        <v>2922</v>
      </c>
      <c r="C42" s="869" t="s">
        <v>3006</v>
      </c>
      <c r="D42" s="878" t="s">
        <v>2998</v>
      </c>
      <c r="E42" s="878" t="s">
        <v>2996</v>
      </c>
      <c r="F42" s="879" t="s">
        <v>3002</v>
      </c>
      <c r="G42" s="721" t="s">
        <v>8</v>
      </c>
      <c r="H42" s="692">
        <f>SUM(H43:H46)</f>
        <v>0</v>
      </c>
      <c r="I42" s="692">
        <f>SUM(I43:I46)</f>
        <v>0</v>
      </c>
      <c r="J42" s="727">
        <f t="shared" ref="J42:M42" si="14">SUM(J43:J46)</f>
        <v>6717.2</v>
      </c>
      <c r="K42" s="727">
        <f t="shared" si="14"/>
        <v>4802.3130000000001</v>
      </c>
      <c r="L42" s="727">
        <f t="shared" si="14"/>
        <v>4802.3130000000001</v>
      </c>
      <c r="M42" s="727">
        <f t="shared" si="14"/>
        <v>0</v>
      </c>
      <c r="N42" s="728">
        <f>L42/J42</f>
        <v>0.71492779729649258</v>
      </c>
      <c r="O42" s="863">
        <f>L42/6717.2</f>
        <v>0.71492779729649258</v>
      </c>
      <c r="P42" s="879">
        <v>1914.9</v>
      </c>
      <c r="Q42" s="845" t="s">
        <v>3108</v>
      </c>
      <c r="R42" s="724"/>
      <c r="S42" s="724"/>
      <c r="T42" s="724"/>
      <c r="U42" s="724"/>
      <c r="V42" s="724"/>
      <c r="W42" s="724"/>
      <c r="X42" s="724"/>
      <c r="Y42" s="724"/>
      <c r="Z42" s="724"/>
      <c r="AA42" s="724"/>
      <c r="AB42" s="724"/>
      <c r="AC42" s="724"/>
      <c r="AD42" s="724"/>
      <c r="AE42" s="724"/>
      <c r="AF42" s="724"/>
      <c r="AG42" s="724"/>
      <c r="AH42" s="724"/>
      <c r="AI42" s="724"/>
      <c r="AJ42" s="724"/>
      <c r="AK42" s="724"/>
    </row>
    <row r="43" spans="1:37" s="726" customFormat="1" ht="24" customHeight="1">
      <c r="A43" s="867"/>
      <c r="B43" s="870"/>
      <c r="C43" s="870"/>
      <c r="D43" s="878"/>
      <c r="E43" s="878"/>
      <c r="F43" s="880"/>
      <c r="G43" s="721" t="s">
        <v>9</v>
      </c>
      <c r="H43" s="692">
        <v>0</v>
      </c>
      <c r="I43" s="692">
        <v>0</v>
      </c>
      <c r="J43" s="727">
        <v>6650</v>
      </c>
      <c r="K43" s="729">
        <f>4754289.87/1000</f>
        <v>4754.2898700000005</v>
      </c>
      <c r="L43" s="729">
        <f>4754289.87/1000</f>
        <v>4754.2898700000005</v>
      </c>
      <c r="M43" s="727">
        <v>0</v>
      </c>
      <c r="N43" s="728">
        <f t="shared" ref="N43" si="15">L43/J43</f>
        <v>0.71493080751879712</v>
      </c>
      <c r="O43" s="864"/>
      <c r="P43" s="880"/>
      <c r="Q43" s="846"/>
      <c r="R43" s="724"/>
      <c r="S43" s="724"/>
      <c r="T43" s="724"/>
      <c r="U43" s="724"/>
      <c r="V43" s="724"/>
      <c r="W43" s="724"/>
      <c r="X43" s="724"/>
      <c r="Y43" s="724"/>
      <c r="Z43" s="724"/>
      <c r="AA43" s="724"/>
      <c r="AB43" s="724"/>
      <c r="AC43" s="724"/>
      <c r="AD43" s="724"/>
      <c r="AE43" s="724"/>
      <c r="AF43" s="724"/>
      <c r="AG43" s="724"/>
      <c r="AH43" s="724"/>
      <c r="AI43" s="724"/>
      <c r="AJ43" s="724"/>
      <c r="AK43" s="724"/>
    </row>
    <row r="44" spans="1:37" s="726" customFormat="1" ht="24" customHeight="1">
      <c r="A44" s="867"/>
      <c r="B44" s="870"/>
      <c r="C44" s="870"/>
      <c r="D44" s="878"/>
      <c r="E44" s="878"/>
      <c r="F44" s="880"/>
      <c r="G44" s="721" t="s">
        <v>10</v>
      </c>
      <c r="H44" s="692">
        <v>0</v>
      </c>
      <c r="I44" s="692">
        <v>0</v>
      </c>
      <c r="J44" s="727">
        <v>0</v>
      </c>
      <c r="K44" s="727">
        <v>0</v>
      </c>
      <c r="L44" s="727">
        <v>0</v>
      </c>
      <c r="M44" s="727">
        <v>0</v>
      </c>
      <c r="N44" s="728">
        <v>0</v>
      </c>
      <c r="O44" s="864"/>
      <c r="P44" s="880"/>
      <c r="Q44" s="846"/>
      <c r="R44" s="724"/>
      <c r="S44" s="724"/>
      <c r="T44" s="724"/>
      <c r="U44" s="724"/>
      <c r="V44" s="724"/>
      <c r="W44" s="724"/>
      <c r="X44" s="724"/>
      <c r="Y44" s="724"/>
      <c r="Z44" s="724"/>
      <c r="AA44" s="724"/>
      <c r="AB44" s="724"/>
      <c r="AC44" s="724"/>
      <c r="AD44" s="724"/>
      <c r="AE44" s="724"/>
      <c r="AF44" s="724"/>
      <c r="AG44" s="724"/>
      <c r="AH44" s="724"/>
      <c r="AI44" s="724"/>
      <c r="AJ44" s="724"/>
      <c r="AK44" s="724"/>
    </row>
    <row r="45" spans="1:37" s="726" customFormat="1" ht="24" customHeight="1">
      <c r="A45" s="867"/>
      <c r="B45" s="870"/>
      <c r="C45" s="870"/>
      <c r="D45" s="878"/>
      <c r="E45" s="878"/>
      <c r="F45" s="880"/>
      <c r="G45" s="721" t="s">
        <v>11</v>
      </c>
      <c r="H45" s="692">
        <v>0</v>
      </c>
      <c r="I45" s="692">
        <v>0</v>
      </c>
      <c r="J45" s="727">
        <v>67.2</v>
      </c>
      <c r="K45" s="729">
        <f>48023.13/1000</f>
        <v>48.023129999999995</v>
      </c>
      <c r="L45" s="729">
        <f>48023.13/1000</f>
        <v>48.023129999999995</v>
      </c>
      <c r="M45" s="727">
        <v>0</v>
      </c>
      <c r="N45" s="728">
        <v>0</v>
      </c>
      <c r="O45" s="864"/>
      <c r="P45" s="880"/>
      <c r="Q45" s="846"/>
      <c r="R45" s="724"/>
      <c r="S45" s="724"/>
      <c r="T45" s="724"/>
      <c r="U45" s="724"/>
      <c r="V45" s="724"/>
      <c r="W45" s="724"/>
      <c r="X45" s="724"/>
      <c r="Y45" s="724"/>
      <c r="Z45" s="724"/>
      <c r="AA45" s="724"/>
      <c r="AB45" s="724"/>
      <c r="AC45" s="724"/>
      <c r="AD45" s="724"/>
      <c r="AE45" s="724"/>
      <c r="AF45" s="724"/>
      <c r="AG45" s="724"/>
      <c r="AH45" s="724"/>
      <c r="AI45" s="724"/>
      <c r="AJ45" s="724"/>
      <c r="AK45" s="724"/>
    </row>
    <row r="46" spans="1:37" s="726" customFormat="1" ht="24" customHeight="1">
      <c r="A46" s="868"/>
      <c r="B46" s="871"/>
      <c r="C46" s="871"/>
      <c r="D46" s="878"/>
      <c r="E46" s="878"/>
      <c r="F46" s="881"/>
      <c r="G46" s="721" t="s">
        <v>12</v>
      </c>
      <c r="H46" s="692">
        <v>0</v>
      </c>
      <c r="I46" s="692">
        <v>0</v>
      </c>
      <c r="J46" s="692">
        <v>0</v>
      </c>
      <c r="K46" s="692">
        <v>0</v>
      </c>
      <c r="L46" s="692">
        <v>0</v>
      </c>
      <c r="M46" s="692">
        <v>0</v>
      </c>
      <c r="N46" s="691">
        <v>0</v>
      </c>
      <c r="O46" s="865"/>
      <c r="P46" s="881"/>
      <c r="Q46" s="847"/>
      <c r="R46" s="724"/>
      <c r="S46" s="724"/>
      <c r="T46" s="724"/>
      <c r="U46" s="724"/>
      <c r="V46" s="724"/>
      <c r="W46" s="724"/>
      <c r="X46" s="724"/>
      <c r="Y46" s="724"/>
      <c r="Z46" s="724"/>
      <c r="AA46" s="724"/>
      <c r="AB46" s="724"/>
      <c r="AC46" s="724"/>
      <c r="AD46" s="724"/>
      <c r="AE46" s="724"/>
      <c r="AF46" s="724"/>
      <c r="AG46" s="724"/>
      <c r="AH46" s="724"/>
      <c r="AI46" s="724"/>
      <c r="AJ46" s="724"/>
      <c r="AK46" s="724"/>
    </row>
    <row r="47" spans="1:37" s="726" customFormat="1" ht="24" customHeight="1">
      <c r="A47" s="866">
        <v>9</v>
      </c>
      <c r="B47" s="869" t="s">
        <v>2923</v>
      </c>
      <c r="C47" s="869" t="s">
        <v>3008</v>
      </c>
      <c r="D47" s="869" t="s">
        <v>3010</v>
      </c>
      <c r="E47" s="878" t="s">
        <v>2996</v>
      </c>
      <c r="F47" s="879" t="s">
        <v>3009</v>
      </c>
      <c r="G47" s="721" t="s">
        <v>8</v>
      </c>
      <c r="H47" s="692">
        <f>SUM(H48:H51)</f>
        <v>0</v>
      </c>
      <c r="I47" s="692">
        <f>SUM(I48:I51)</f>
        <v>0</v>
      </c>
      <c r="J47" s="692">
        <f t="shared" ref="J47:M47" si="16">SUM(J48:J51)</f>
        <v>66399.149999999994</v>
      </c>
      <c r="K47" s="692">
        <f t="shared" si="16"/>
        <v>0</v>
      </c>
      <c r="L47" s="692">
        <f t="shared" si="16"/>
        <v>0</v>
      </c>
      <c r="M47" s="692">
        <f t="shared" si="16"/>
        <v>0</v>
      </c>
      <c r="N47" s="691">
        <f>L47/J47</f>
        <v>0</v>
      </c>
      <c r="O47" s="882">
        <v>0</v>
      </c>
      <c r="P47" s="883">
        <v>412399.2</v>
      </c>
      <c r="Q47" s="845" t="s">
        <v>3178</v>
      </c>
      <c r="R47" s="724"/>
      <c r="S47" s="724"/>
      <c r="T47" s="724"/>
      <c r="U47" s="724"/>
      <c r="V47" s="724"/>
      <c r="W47" s="724"/>
      <c r="X47" s="724"/>
      <c r="Y47" s="724"/>
      <c r="Z47" s="724"/>
      <c r="AA47" s="724"/>
      <c r="AB47" s="724"/>
      <c r="AC47" s="724"/>
      <c r="AD47" s="724"/>
      <c r="AE47" s="724"/>
      <c r="AF47" s="724"/>
      <c r="AG47" s="724"/>
      <c r="AH47" s="724"/>
      <c r="AI47" s="724"/>
      <c r="AJ47" s="724"/>
      <c r="AK47" s="724"/>
    </row>
    <row r="48" spans="1:37" s="726" customFormat="1" ht="24" customHeight="1">
      <c r="A48" s="867"/>
      <c r="B48" s="870"/>
      <c r="C48" s="870"/>
      <c r="D48" s="870"/>
      <c r="E48" s="878"/>
      <c r="F48" s="880"/>
      <c r="G48" s="721" t="s">
        <v>9</v>
      </c>
      <c r="H48" s="692">
        <v>0</v>
      </c>
      <c r="I48" s="692">
        <v>0</v>
      </c>
      <c r="J48" s="692">
        <v>66399.149999999994</v>
      </c>
      <c r="K48" s="692">
        <v>0</v>
      </c>
      <c r="L48" s="692">
        <v>0</v>
      </c>
      <c r="M48" s="692">
        <v>0</v>
      </c>
      <c r="N48" s="691">
        <f t="shared" ref="N48" si="17">L48/J48</f>
        <v>0</v>
      </c>
      <c r="O48" s="870"/>
      <c r="P48" s="884"/>
      <c r="Q48" s="846"/>
      <c r="R48" s="724"/>
      <c r="S48" s="724"/>
      <c r="T48" s="724"/>
      <c r="U48" s="724"/>
      <c r="V48" s="724"/>
      <c r="W48" s="724"/>
      <c r="X48" s="724"/>
      <c r="Y48" s="724"/>
      <c r="Z48" s="724"/>
      <c r="AA48" s="724"/>
      <c r="AB48" s="724"/>
      <c r="AC48" s="724"/>
      <c r="AD48" s="724"/>
      <c r="AE48" s="724"/>
      <c r="AF48" s="724"/>
      <c r="AG48" s="724"/>
      <c r="AH48" s="724"/>
      <c r="AI48" s="724"/>
      <c r="AJ48" s="724"/>
      <c r="AK48" s="724"/>
    </row>
    <row r="49" spans="1:37" s="726" customFormat="1" ht="24" customHeight="1">
      <c r="A49" s="867"/>
      <c r="B49" s="870"/>
      <c r="C49" s="870"/>
      <c r="D49" s="870"/>
      <c r="E49" s="878"/>
      <c r="F49" s="880"/>
      <c r="G49" s="721" t="s">
        <v>10</v>
      </c>
      <c r="H49" s="692">
        <v>0</v>
      </c>
      <c r="I49" s="692">
        <v>0</v>
      </c>
      <c r="J49" s="692">
        <v>0</v>
      </c>
      <c r="K49" s="692">
        <v>0</v>
      </c>
      <c r="L49" s="692">
        <v>0</v>
      </c>
      <c r="M49" s="692">
        <v>0</v>
      </c>
      <c r="N49" s="691">
        <v>0</v>
      </c>
      <c r="O49" s="870"/>
      <c r="P49" s="884"/>
      <c r="Q49" s="846"/>
      <c r="R49" s="724"/>
      <c r="S49" s="724"/>
      <c r="T49" s="724"/>
      <c r="U49" s="724"/>
      <c r="V49" s="724"/>
      <c r="W49" s="724"/>
      <c r="X49" s="724"/>
      <c r="Y49" s="724"/>
      <c r="Z49" s="724"/>
      <c r="AA49" s="724"/>
      <c r="AB49" s="724"/>
      <c r="AC49" s="724"/>
      <c r="AD49" s="724"/>
      <c r="AE49" s="724"/>
      <c r="AF49" s="724"/>
      <c r="AG49" s="724"/>
      <c r="AH49" s="724"/>
      <c r="AI49" s="724"/>
      <c r="AJ49" s="724"/>
      <c r="AK49" s="724"/>
    </row>
    <row r="50" spans="1:37" s="726" customFormat="1" ht="24" customHeight="1">
      <c r="A50" s="867"/>
      <c r="B50" s="870"/>
      <c r="C50" s="870"/>
      <c r="D50" s="870"/>
      <c r="E50" s="878"/>
      <c r="F50" s="880"/>
      <c r="G50" s="721" t="s">
        <v>11</v>
      </c>
      <c r="H50" s="692">
        <v>0</v>
      </c>
      <c r="I50" s="692">
        <v>0</v>
      </c>
      <c r="J50" s="692">
        <f>H50</f>
        <v>0</v>
      </c>
      <c r="K50" s="692">
        <v>0</v>
      </c>
      <c r="L50" s="692">
        <v>0</v>
      </c>
      <c r="M50" s="692">
        <v>0</v>
      </c>
      <c r="N50" s="691">
        <v>0</v>
      </c>
      <c r="O50" s="870"/>
      <c r="P50" s="884"/>
      <c r="Q50" s="846"/>
      <c r="R50" s="724"/>
      <c r="S50" s="724"/>
      <c r="T50" s="724"/>
      <c r="U50" s="724"/>
      <c r="V50" s="724"/>
      <c r="W50" s="724"/>
      <c r="X50" s="724"/>
      <c r="Y50" s="724"/>
      <c r="Z50" s="724"/>
      <c r="AA50" s="724"/>
      <c r="AB50" s="724"/>
      <c r="AC50" s="724"/>
      <c r="AD50" s="724"/>
      <c r="AE50" s="724"/>
      <c r="AF50" s="724"/>
      <c r="AG50" s="724"/>
      <c r="AH50" s="724"/>
      <c r="AI50" s="724"/>
      <c r="AJ50" s="724"/>
      <c r="AK50" s="724"/>
    </row>
    <row r="51" spans="1:37" s="726" customFormat="1" ht="24" customHeight="1">
      <c r="A51" s="868"/>
      <c r="B51" s="871"/>
      <c r="C51" s="871"/>
      <c r="D51" s="871"/>
      <c r="E51" s="878"/>
      <c r="F51" s="881"/>
      <c r="G51" s="721" t="s">
        <v>12</v>
      </c>
      <c r="H51" s="692">
        <v>0</v>
      </c>
      <c r="I51" s="692">
        <v>0</v>
      </c>
      <c r="J51" s="692">
        <v>0</v>
      </c>
      <c r="K51" s="692">
        <v>0</v>
      </c>
      <c r="L51" s="692">
        <v>0</v>
      </c>
      <c r="M51" s="692">
        <v>0</v>
      </c>
      <c r="N51" s="691">
        <v>0</v>
      </c>
      <c r="O51" s="871"/>
      <c r="P51" s="885"/>
      <c r="Q51" s="847"/>
      <c r="R51" s="724"/>
      <c r="S51" s="724"/>
      <c r="T51" s="724"/>
      <c r="U51" s="724"/>
      <c r="V51" s="724"/>
      <c r="W51" s="724"/>
      <c r="X51" s="724"/>
      <c r="Y51" s="724"/>
      <c r="Z51" s="724"/>
      <c r="AA51" s="724"/>
      <c r="AB51" s="724"/>
      <c r="AC51" s="724"/>
      <c r="AD51" s="724"/>
      <c r="AE51" s="724"/>
      <c r="AF51" s="724"/>
      <c r="AG51" s="724"/>
      <c r="AH51" s="724"/>
      <c r="AI51" s="724"/>
      <c r="AJ51" s="724"/>
      <c r="AK51" s="724"/>
    </row>
    <row r="52" spans="1:37" s="724" customFormat="1" ht="24" customHeight="1">
      <c r="A52" s="866">
        <v>10</v>
      </c>
      <c r="B52" s="869" t="s">
        <v>2984</v>
      </c>
      <c r="C52" s="869" t="s">
        <v>2986</v>
      </c>
      <c r="D52" s="869" t="s">
        <v>2988</v>
      </c>
      <c r="E52" s="869" t="s">
        <v>2990</v>
      </c>
      <c r="F52" s="875">
        <v>389504.1</v>
      </c>
      <c r="G52" s="721" t="s">
        <v>8</v>
      </c>
      <c r="H52" s="687">
        <f>SUM(H53:H55)</f>
        <v>97524.24861000001</v>
      </c>
      <c r="I52" s="687">
        <f>SUM(I53:I55)</f>
        <v>3381.32447</v>
      </c>
      <c r="J52" s="687">
        <f>SUM(J53:J55)</f>
        <v>352683.53651000001</v>
      </c>
      <c r="K52" s="687">
        <f t="shared" ref="K52:L52" si="18">SUM(K53:K55)</f>
        <v>352683.43650999997</v>
      </c>
      <c r="L52" s="735">
        <f t="shared" si="18"/>
        <v>15282.398589999999</v>
      </c>
      <c r="M52" s="687">
        <f>SUM(M53:M55)</f>
        <v>48862.140000000007</v>
      </c>
      <c r="N52" s="691">
        <f>L52/J52</f>
        <v>4.3331760652135461E-2</v>
      </c>
      <c r="O52" s="863">
        <f>(M52+I52+L52-3000)/(F52-3000)</f>
        <v>0.16694742192903</v>
      </c>
      <c r="P52" s="842">
        <f>F52-H52-K52</f>
        <v>-60703.585120000003</v>
      </c>
      <c r="Q52" s="845" t="s">
        <v>3179</v>
      </c>
    </row>
    <row r="53" spans="1:37" s="724" customFormat="1" ht="24" customHeight="1">
      <c r="A53" s="867"/>
      <c r="B53" s="870"/>
      <c r="C53" s="870"/>
      <c r="D53" s="870"/>
      <c r="E53" s="870"/>
      <c r="F53" s="876"/>
      <c r="G53" s="721" t="s">
        <v>9</v>
      </c>
      <c r="H53" s="692">
        <v>5458.1</v>
      </c>
      <c r="I53" s="687">
        <v>22.032505046617199</v>
      </c>
      <c r="J53" s="692">
        <f>'[8]12А'!D365</f>
        <v>310574.57513999997</v>
      </c>
      <c r="K53" s="745">
        <f>'[8]12А'!E365</f>
        <v>310574.57513999997</v>
      </c>
      <c r="L53" s="736">
        <f>'[8]12А'!F365</f>
        <v>14576.39078</v>
      </c>
      <c r="M53" s="692">
        <v>2823.2006000000001</v>
      </c>
      <c r="N53" s="691">
        <f>L53/J53</f>
        <v>4.6933625437398707E-2</v>
      </c>
      <c r="O53" s="864"/>
      <c r="P53" s="843"/>
      <c r="Q53" s="846"/>
      <c r="R53" s="730"/>
    </row>
    <row r="54" spans="1:37" s="724" customFormat="1" ht="24" customHeight="1">
      <c r="A54" s="867"/>
      <c r="B54" s="870"/>
      <c r="C54" s="870"/>
      <c r="D54" s="870"/>
      <c r="E54" s="870"/>
      <c r="F54" s="876"/>
      <c r="G54" s="721" t="s">
        <v>10</v>
      </c>
      <c r="H54" s="692">
        <v>88723.8</v>
      </c>
      <c r="I54" s="687">
        <v>358.14799495338275</v>
      </c>
      <c r="J54" s="692">
        <f>'[8]12А'!D366</f>
        <v>32529.4</v>
      </c>
      <c r="K54" s="745">
        <f>'[8]12А'!E366</f>
        <v>32529.4</v>
      </c>
      <c r="L54" s="736">
        <f>'[8]12А'!F366</f>
        <v>0</v>
      </c>
      <c r="M54" s="692">
        <v>45892.352980000003</v>
      </c>
      <c r="N54" s="691">
        <v>0</v>
      </c>
      <c r="O54" s="864"/>
      <c r="P54" s="843"/>
      <c r="Q54" s="846"/>
    </row>
    <row r="55" spans="1:37" s="724" customFormat="1" ht="24" customHeight="1">
      <c r="A55" s="867"/>
      <c r="B55" s="870"/>
      <c r="C55" s="870"/>
      <c r="D55" s="870"/>
      <c r="E55" s="870"/>
      <c r="F55" s="876"/>
      <c r="G55" s="721" t="s">
        <v>11</v>
      </c>
      <c r="H55" s="692">
        <v>3342.34861</v>
      </c>
      <c r="I55" s="687">
        <f>3001143.97/1000</f>
        <v>3001.1439700000001</v>
      </c>
      <c r="J55" s="692">
        <f>'[8]12А'!D367</f>
        <v>9579.5613699999994</v>
      </c>
      <c r="K55" s="692">
        <f>'[8]12А'!E367-0.1</f>
        <v>9579.4613699999991</v>
      </c>
      <c r="L55" s="736">
        <f>'[8]12А'!F367</f>
        <v>706.00780999999995</v>
      </c>
      <c r="M55" s="692">
        <v>146.58642</v>
      </c>
      <c r="N55" s="691">
        <v>0</v>
      </c>
      <c r="O55" s="864"/>
      <c r="P55" s="843"/>
      <c r="Q55" s="846"/>
      <c r="R55" s="730"/>
      <c r="S55" s="730"/>
    </row>
    <row r="56" spans="1:37" s="724" customFormat="1" ht="24" customHeight="1">
      <c r="A56" s="868"/>
      <c r="B56" s="871"/>
      <c r="C56" s="871"/>
      <c r="D56" s="871"/>
      <c r="E56" s="871"/>
      <c r="F56" s="877"/>
      <c r="G56" s="721" t="s">
        <v>12</v>
      </c>
      <c r="H56" s="692">
        <v>0</v>
      </c>
      <c r="I56" s="692">
        <v>0</v>
      </c>
      <c r="J56" s="692">
        <v>0</v>
      </c>
      <c r="K56" s="692">
        <v>0</v>
      </c>
      <c r="L56" s="736">
        <v>0</v>
      </c>
      <c r="M56" s="692">
        <v>0</v>
      </c>
      <c r="N56" s="691">
        <v>0</v>
      </c>
      <c r="O56" s="865"/>
      <c r="P56" s="844"/>
      <c r="Q56" s="847"/>
      <c r="R56" s="730"/>
    </row>
    <row r="57" spans="1:37" s="724" customFormat="1" ht="36" customHeight="1">
      <c r="A57" s="866">
        <v>11</v>
      </c>
      <c r="B57" s="869" t="s">
        <v>2985</v>
      </c>
      <c r="C57" s="869" t="s">
        <v>2987</v>
      </c>
      <c r="D57" s="869" t="s">
        <v>2989</v>
      </c>
      <c r="E57" s="869" t="s">
        <v>2991</v>
      </c>
      <c r="F57" s="872">
        <v>513677.7</v>
      </c>
      <c r="G57" s="721" t="s">
        <v>8</v>
      </c>
      <c r="H57" s="692">
        <f>H58+H59+H60</f>
        <v>184653.4</v>
      </c>
      <c r="I57" s="692">
        <f>I58+I59+I60</f>
        <v>53564.440149999995</v>
      </c>
      <c r="J57" s="692">
        <f t="shared" ref="J57:M57" si="19">J58+J59+J60</f>
        <v>325847.71465000004</v>
      </c>
      <c r="K57" s="692">
        <f t="shared" si="19"/>
        <v>325753.98082</v>
      </c>
      <c r="L57" s="692">
        <f t="shared" si="19"/>
        <v>325754.08082000003</v>
      </c>
      <c r="M57" s="692">
        <f t="shared" si="19"/>
        <v>131088.95984999998</v>
      </c>
      <c r="N57" s="691">
        <f>L57/J57</f>
        <v>0.99971264542978122</v>
      </c>
      <c r="O57" s="863">
        <f>(I57+L57+M57-4960)/(F57-4960)</f>
        <v>0.99357164262222442</v>
      </c>
      <c r="P57" s="842">
        <f>F57-H57-K57</f>
        <v>3270.3191800000495</v>
      </c>
      <c r="Q57" s="845" t="s">
        <v>3109</v>
      </c>
    </row>
    <row r="58" spans="1:37" s="724" customFormat="1" ht="36" customHeight="1">
      <c r="A58" s="867"/>
      <c r="B58" s="870"/>
      <c r="C58" s="870"/>
      <c r="D58" s="870"/>
      <c r="E58" s="870"/>
      <c r="F58" s="873"/>
      <c r="G58" s="721" t="s">
        <v>9</v>
      </c>
      <c r="H58" s="692">
        <v>10382.1</v>
      </c>
      <c r="I58" s="687">
        <f>H58-M58</f>
        <v>2899.1245000000008</v>
      </c>
      <c r="J58" s="692">
        <f>'[8]12А'!D370</f>
        <v>171730.75678999998</v>
      </c>
      <c r="K58" s="746">
        <f>'[8]12А'!E370</f>
        <v>171641.80465000001</v>
      </c>
      <c r="L58" s="692">
        <f>'[8]12А'!F370</f>
        <v>171641.80465000001</v>
      </c>
      <c r="M58" s="692">
        <f>7482975.5/1000</f>
        <v>7482.9754999999996</v>
      </c>
      <c r="N58" s="691">
        <f t="shared" ref="N58:N60" si="20">L58/J58</f>
        <v>0.99948202557501831</v>
      </c>
      <c r="O58" s="864"/>
      <c r="P58" s="843"/>
      <c r="Q58" s="846"/>
    </row>
    <row r="59" spans="1:37" s="724" customFormat="1" ht="36" customHeight="1">
      <c r="A59" s="867"/>
      <c r="B59" s="870"/>
      <c r="C59" s="870"/>
      <c r="D59" s="870"/>
      <c r="E59" s="870"/>
      <c r="F59" s="873"/>
      <c r="G59" s="721" t="s">
        <v>10</v>
      </c>
      <c r="H59" s="692">
        <v>168764.9</v>
      </c>
      <c r="I59" s="687">
        <f>H59-M59</f>
        <v>45552.756479999996</v>
      </c>
      <c r="J59" s="692">
        <f>'[8]12А'!D371</f>
        <v>145078.49696000002</v>
      </c>
      <c r="K59" s="746">
        <f>'[8]12А'!E371</f>
        <v>145078.49696000002</v>
      </c>
      <c r="L59" s="692">
        <f>'[8]12А'!F371</f>
        <v>145078.49696000002</v>
      </c>
      <c r="M59" s="692">
        <f>123212143.52/1000</f>
        <v>123212.14352</v>
      </c>
      <c r="N59" s="691">
        <f t="shared" si="20"/>
        <v>1</v>
      </c>
      <c r="O59" s="864"/>
      <c r="P59" s="843"/>
      <c r="Q59" s="846"/>
    </row>
    <row r="60" spans="1:37" s="724" customFormat="1" ht="36" customHeight="1">
      <c r="A60" s="867"/>
      <c r="B60" s="870"/>
      <c r="C60" s="870"/>
      <c r="D60" s="870"/>
      <c r="E60" s="870"/>
      <c r="F60" s="873"/>
      <c r="G60" s="721" t="s">
        <v>11</v>
      </c>
      <c r="H60" s="692">
        <v>5506.4</v>
      </c>
      <c r="I60" s="687">
        <f>H60-M60</f>
        <v>5112.5591699999995</v>
      </c>
      <c r="J60" s="692">
        <f>'[8]12А'!D372</f>
        <v>9038.4609</v>
      </c>
      <c r="K60" s="692">
        <f>'[8]12А'!E372-0.1</f>
        <v>9033.6792100000002</v>
      </c>
      <c r="L60" s="692">
        <f>'[8]12А'!F372</f>
        <v>9033.7792100000006</v>
      </c>
      <c r="M60" s="692">
        <f>393840.83/1000</f>
        <v>393.84083000000004</v>
      </c>
      <c r="N60" s="691">
        <f t="shared" si="20"/>
        <v>0.99948202575064526</v>
      </c>
      <c r="O60" s="864"/>
      <c r="P60" s="843"/>
      <c r="Q60" s="846"/>
    </row>
    <row r="61" spans="1:37" s="724" customFormat="1" ht="36" customHeight="1">
      <c r="A61" s="868"/>
      <c r="B61" s="871"/>
      <c r="C61" s="871"/>
      <c r="D61" s="871"/>
      <c r="E61" s="871"/>
      <c r="F61" s="874"/>
      <c r="G61" s="721" t="s">
        <v>12</v>
      </c>
      <c r="H61" s="692">
        <v>0</v>
      </c>
      <c r="I61" s="687">
        <f>SUM(I73:I74)</f>
        <v>0</v>
      </c>
      <c r="J61" s="692">
        <v>0</v>
      </c>
      <c r="K61" s="692">
        <v>0</v>
      </c>
      <c r="L61" s="692">
        <v>0</v>
      </c>
      <c r="M61" s="692">
        <v>0</v>
      </c>
      <c r="N61" s="691">
        <v>0</v>
      </c>
      <c r="O61" s="865"/>
      <c r="P61" s="844"/>
      <c r="Q61" s="847"/>
    </row>
    <row r="62" spans="1:37" s="673" customFormat="1" ht="24" customHeight="1">
      <c r="A62" s="848">
        <v>12</v>
      </c>
      <c r="B62" s="851" t="s">
        <v>2951</v>
      </c>
      <c r="C62" s="854" t="s">
        <v>3196</v>
      </c>
      <c r="D62" s="854" t="s">
        <v>3197</v>
      </c>
      <c r="E62" s="854" t="s">
        <v>3198</v>
      </c>
      <c r="F62" s="857" t="s">
        <v>3199</v>
      </c>
      <c r="G62" s="747" t="s">
        <v>8</v>
      </c>
      <c r="H62" s="748">
        <f>H63+H64+H65+H66</f>
        <v>0</v>
      </c>
      <c r="I62" s="748">
        <f t="shared" ref="I62:M66" si="21">I63+I64+I65+I66</f>
        <v>0</v>
      </c>
      <c r="J62" s="748">
        <f t="shared" si="21"/>
        <v>6133.4</v>
      </c>
      <c r="K62" s="748">
        <f t="shared" si="21"/>
        <v>2970</v>
      </c>
      <c r="L62" s="748">
        <f t="shared" si="21"/>
        <v>2970</v>
      </c>
      <c r="M62" s="748">
        <f t="shared" si="21"/>
        <v>0</v>
      </c>
      <c r="N62" s="749">
        <f>L62/J62</f>
        <v>0.48423386702318455</v>
      </c>
      <c r="O62" s="860">
        <f>L62/6133.3</f>
        <v>0.48424176218349013</v>
      </c>
      <c r="P62" s="857">
        <f>6133.3-L62</f>
        <v>3163.3</v>
      </c>
      <c r="Q62" s="839" t="s">
        <v>3117</v>
      </c>
      <c r="S62" s="681"/>
    </row>
    <row r="63" spans="1:37" s="673" customFormat="1" ht="24" customHeight="1">
      <c r="A63" s="849"/>
      <c r="B63" s="852"/>
      <c r="C63" s="855"/>
      <c r="D63" s="855"/>
      <c r="E63" s="855"/>
      <c r="F63" s="858"/>
      <c r="G63" s="747" t="s">
        <v>9</v>
      </c>
      <c r="H63" s="748">
        <f t="shared" ref="H63:H66" si="22">H64+H65+H66+H67</f>
        <v>0</v>
      </c>
      <c r="I63" s="748">
        <f t="shared" si="21"/>
        <v>0</v>
      </c>
      <c r="J63" s="750">
        <v>5826.7</v>
      </c>
      <c r="K63" s="751">
        <v>2821.5</v>
      </c>
      <c r="L63" s="751">
        <v>2821.5</v>
      </c>
      <c r="M63" s="748">
        <f t="shared" si="21"/>
        <v>0</v>
      </c>
      <c r="N63" s="749">
        <f t="shared" ref="N63:N65" si="23">L63/J63</f>
        <v>0.48423636020388899</v>
      </c>
      <c r="O63" s="861"/>
      <c r="P63" s="855"/>
      <c r="Q63" s="840"/>
      <c r="S63" s="681"/>
    </row>
    <row r="64" spans="1:37" s="673" customFormat="1" ht="24" customHeight="1">
      <c r="A64" s="849"/>
      <c r="B64" s="852"/>
      <c r="C64" s="855"/>
      <c r="D64" s="855"/>
      <c r="E64" s="855"/>
      <c r="F64" s="858"/>
      <c r="G64" s="747" t="s">
        <v>10</v>
      </c>
      <c r="H64" s="748">
        <f t="shared" si="22"/>
        <v>0</v>
      </c>
      <c r="I64" s="748">
        <f t="shared" si="21"/>
        <v>0</v>
      </c>
      <c r="J64" s="750">
        <v>0</v>
      </c>
      <c r="K64" s="751">
        <v>0</v>
      </c>
      <c r="L64" s="751">
        <v>0</v>
      </c>
      <c r="M64" s="748">
        <f t="shared" si="21"/>
        <v>0</v>
      </c>
      <c r="N64" s="749">
        <v>0</v>
      </c>
      <c r="O64" s="861"/>
      <c r="P64" s="855"/>
      <c r="Q64" s="840"/>
      <c r="S64" s="681"/>
    </row>
    <row r="65" spans="1:24" s="673" customFormat="1" ht="24" customHeight="1">
      <c r="A65" s="849"/>
      <c r="B65" s="852"/>
      <c r="C65" s="855"/>
      <c r="D65" s="855"/>
      <c r="E65" s="855"/>
      <c r="F65" s="858"/>
      <c r="G65" s="747" t="s">
        <v>11</v>
      </c>
      <c r="H65" s="748">
        <f t="shared" si="22"/>
        <v>0</v>
      </c>
      <c r="I65" s="748">
        <f t="shared" si="21"/>
        <v>0</v>
      </c>
      <c r="J65" s="750">
        <v>306.7</v>
      </c>
      <c r="K65" s="751">
        <v>148.5</v>
      </c>
      <c r="L65" s="751">
        <v>148.5</v>
      </c>
      <c r="M65" s="748">
        <f t="shared" si="21"/>
        <v>0</v>
      </c>
      <c r="N65" s="749">
        <f t="shared" si="23"/>
        <v>0.48418650146723186</v>
      </c>
      <c r="O65" s="861"/>
      <c r="P65" s="855"/>
      <c r="Q65" s="840"/>
      <c r="S65" s="681"/>
    </row>
    <row r="66" spans="1:24" ht="17.25" customHeight="1">
      <c r="A66" s="850"/>
      <c r="B66" s="853"/>
      <c r="C66" s="856"/>
      <c r="D66" s="856"/>
      <c r="E66" s="856"/>
      <c r="F66" s="859"/>
      <c r="G66" s="747" t="s">
        <v>12</v>
      </c>
      <c r="H66" s="748">
        <f t="shared" si="22"/>
        <v>0</v>
      </c>
      <c r="I66" s="748">
        <f t="shared" si="21"/>
        <v>0</v>
      </c>
      <c r="J66" s="750">
        <v>0</v>
      </c>
      <c r="K66" s="751">
        <v>0</v>
      </c>
      <c r="L66" s="751">
        <v>0</v>
      </c>
      <c r="M66" s="748">
        <f t="shared" si="21"/>
        <v>0</v>
      </c>
      <c r="N66" s="749">
        <v>0</v>
      </c>
      <c r="O66" s="862"/>
      <c r="P66" s="856"/>
      <c r="Q66" s="841"/>
      <c r="R66" s="675"/>
      <c r="S66" s="682"/>
      <c r="T66" s="676"/>
      <c r="U66" s="676"/>
      <c r="V66" s="676"/>
      <c r="W66" s="648"/>
      <c r="X66" s="648"/>
    </row>
    <row r="67" spans="1:24" ht="15.75" customHeight="1">
      <c r="A67" s="739" t="s">
        <v>2889</v>
      </c>
      <c r="B67" s="740"/>
      <c r="C67" s="740"/>
      <c r="D67" s="740"/>
      <c r="E67" s="740"/>
      <c r="F67" s="740"/>
      <c r="G67" s="740"/>
      <c r="H67" s="740"/>
      <c r="I67" s="740"/>
      <c r="J67" s="740"/>
      <c r="K67" s="740"/>
      <c r="L67" s="740"/>
      <c r="M67" s="740"/>
      <c r="N67" s="740"/>
      <c r="O67" s="740"/>
      <c r="P67" s="740"/>
      <c r="R67" s="675"/>
      <c r="S67" s="678"/>
      <c r="T67" s="676"/>
      <c r="U67" s="676"/>
      <c r="V67" s="676"/>
      <c r="W67" s="648"/>
      <c r="X67" s="648"/>
    </row>
    <row r="68" spans="1:24" ht="15.75" customHeight="1">
      <c r="A68" s="739" t="s">
        <v>2890</v>
      </c>
      <c r="B68" s="740"/>
      <c r="C68" s="740"/>
      <c r="D68" s="740"/>
      <c r="E68" s="740"/>
      <c r="F68" s="740"/>
      <c r="G68" s="740"/>
      <c r="H68" s="740"/>
      <c r="I68" s="740"/>
      <c r="J68" s="740"/>
      <c r="K68" s="740"/>
      <c r="L68" s="740"/>
      <c r="M68" s="740"/>
      <c r="N68" s="740"/>
      <c r="O68" s="740"/>
      <c r="P68" s="740"/>
      <c r="R68" s="675"/>
      <c r="S68" s="678"/>
      <c r="T68" s="676"/>
      <c r="U68" s="676"/>
      <c r="V68" s="676"/>
      <c r="W68" s="648"/>
      <c r="X68" s="648"/>
    </row>
    <row r="69" spans="1:24" ht="15.75" customHeight="1">
      <c r="A69" s="739" t="s">
        <v>2891</v>
      </c>
      <c r="C69" s="740"/>
      <c r="D69" s="740"/>
      <c r="E69" s="740"/>
      <c r="F69" s="740"/>
      <c r="G69" s="740"/>
      <c r="H69" s="740"/>
      <c r="I69" s="740"/>
      <c r="J69" s="740"/>
      <c r="K69" s="740"/>
      <c r="L69" s="740"/>
      <c r="M69" s="740"/>
      <c r="N69" s="740"/>
      <c r="O69" s="740"/>
      <c r="P69" s="740"/>
      <c r="R69" s="675"/>
      <c r="S69" s="678"/>
      <c r="T69" s="676"/>
      <c r="U69" s="676"/>
      <c r="V69" s="676"/>
      <c r="W69" s="648"/>
      <c r="X69" s="648"/>
    </row>
    <row r="70" spans="1:24">
      <c r="F70" s="675"/>
      <c r="G70" s="676"/>
      <c r="H70" s="675"/>
      <c r="I70" s="675"/>
      <c r="J70" s="677"/>
      <c r="K70" s="675"/>
      <c r="L70" s="675"/>
      <c r="M70" s="675"/>
      <c r="N70" s="678"/>
      <c r="O70" s="676"/>
      <c r="P70" s="676"/>
      <c r="Q70" s="732"/>
    </row>
    <row r="71" spans="1:24">
      <c r="F71" s="675"/>
      <c r="G71" s="676"/>
      <c r="H71" s="675"/>
      <c r="I71" s="675"/>
      <c r="J71" s="677"/>
      <c r="K71" s="675"/>
      <c r="L71" s="675"/>
      <c r="M71" s="675"/>
      <c r="N71" s="678"/>
      <c r="O71" s="676"/>
      <c r="P71" s="676"/>
      <c r="Q71" s="732"/>
    </row>
    <row r="72" spans="1:24">
      <c r="F72" s="675"/>
      <c r="G72" s="676"/>
      <c r="H72" s="675"/>
      <c r="I72" s="675"/>
      <c r="J72" s="677"/>
      <c r="K72" s="675"/>
      <c r="L72" s="675"/>
      <c r="M72" s="675"/>
      <c r="N72" s="678"/>
      <c r="O72" s="676"/>
      <c r="P72" s="676"/>
      <c r="Q72" s="732"/>
    </row>
    <row r="73" spans="1:24">
      <c r="F73" s="675"/>
      <c r="G73" s="676"/>
      <c r="H73" s="675"/>
      <c r="I73" s="675"/>
      <c r="J73" s="677"/>
      <c r="K73" s="675"/>
      <c r="L73" s="675"/>
      <c r="M73" s="675"/>
      <c r="N73" s="678"/>
      <c r="O73" s="676"/>
      <c r="P73" s="676"/>
      <c r="Q73" s="732"/>
    </row>
    <row r="74" spans="1:24">
      <c r="F74" s="675"/>
      <c r="G74" s="676"/>
      <c r="H74" s="675"/>
      <c r="I74" s="675"/>
      <c r="J74" s="677"/>
      <c r="K74" s="675"/>
      <c r="L74" s="675"/>
      <c r="M74" s="675"/>
      <c r="N74" s="678"/>
      <c r="O74" s="676"/>
      <c r="P74" s="676"/>
      <c r="Q74" s="732"/>
    </row>
    <row r="75" spans="1:24">
      <c r="F75" s="675"/>
      <c r="G75" s="676"/>
      <c r="H75" s="675"/>
      <c r="I75" s="675"/>
      <c r="J75" s="677"/>
      <c r="K75" s="675"/>
      <c r="L75" s="675"/>
      <c r="M75" s="675"/>
      <c r="N75" s="678"/>
      <c r="O75" s="676"/>
      <c r="P75" s="676"/>
      <c r="Q75" s="732"/>
    </row>
    <row r="76" spans="1:24">
      <c r="F76" s="675"/>
      <c r="G76" s="676"/>
      <c r="H76" s="675"/>
      <c r="I76" s="675"/>
      <c r="J76" s="677"/>
      <c r="K76" s="675"/>
      <c r="L76" s="675"/>
      <c r="M76" s="675"/>
      <c r="N76" s="678"/>
      <c r="O76" s="676"/>
      <c r="P76" s="676"/>
      <c r="Q76" s="732"/>
    </row>
    <row r="77" spans="1:24">
      <c r="F77" s="675"/>
      <c r="G77" s="676"/>
      <c r="H77" s="675"/>
      <c r="I77" s="675"/>
      <c r="J77" s="677"/>
      <c r="K77" s="675"/>
      <c r="L77" s="675"/>
      <c r="M77" s="675"/>
      <c r="N77" s="678"/>
      <c r="O77" s="676"/>
      <c r="P77" s="676"/>
      <c r="Q77" s="732"/>
    </row>
    <row r="78" spans="1:24">
      <c r="F78" s="675"/>
      <c r="G78" s="676"/>
      <c r="H78" s="675"/>
      <c r="I78" s="675"/>
      <c r="J78" s="677"/>
      <c r="K78" s="675"/>
      <c r="L78" s="675"/>
      <c r="M78" s="675"/>
      <c r="N78" s="678"/>
      <c r="O78" s="676"/>
      <c r="P78" s="676"/>
      <c r="Q78" s="732"/>
    </row>
    <row r="79" spans="1:24">
      <c r="F79" s="675"/>
      <c r="G79" s="676"/>
      <c r="H79" s="675"/>
      <c r="I79" s="675"/>
      <c r="J79" s="677"/>
      <c r="K79" s="675"/>
      <c r="L79" s="675"/>
      <c r="M79" s="675"/>
      <c r="N79" s="678"/>
      <c r="O79" s="676"/>
      <c r="P79" s="676"/>
      <c r="Q79" s="732"/>
    </row>
    <row r="80" spans="1:24">
      <c r="F80" s="675"/>
      <c r="G80" s="676"/>
      <c r="H80" s="675"/>
      <c r="I80" s="675"/>
      <c r="J80" s="677"/>
      <c r="K80" s="675"/>
      <c r="L80" s="675"/>
      <c r="M80" s="675"/>
      <c r="N80" s="678"/>
      <c r="O80" s="676"/>
      <c r="P80" s="676"/>
      <c r="Q80" s="732"/>
    </row>
    <row r="81" spans="6:17">
      <c r="F81" s="675"/>
      <c r="G81" s="676"/>
      <c r="H81" s="675"/>
      <c r="I81" s="675"/>
      <c r="J81" s="677"/>
      <c r="K81" s="675"/>
      <c r="L81" s="675"/>
      <c r="M81" s="675"/>
      <c r="N81" s="678"/>
      <c r="O81" s="676"/>
      <c r="P81" s="676"/>
      <c r="Q81" s="732"/>
    </row>
  </sheetData>
  <mergeCells count="118">
    <mergeCell ref="A2:Q2"/>
    <mergeCell ref="A4:A5"/>
    <mergeCell ref="B4:B5"/>
    <mergeCell ref="C4:C5"/>
    <mergeCell ref="D4:D5"/>
    <mergeCell ref="E4:E5"/>
    <mergeCell ref="F4:F5"/>
    <mergeCell ref="G4:G5"/>
    <mergeCell ref="H4:I4"/>
    <mergeCell ref="J4:J5"/>
    <mergeCell ref="K4:N4"/>
    <mergeCell ref="O4:O5"/>
    <mergeCell ref="P4:P5"/>
    <mergeCell ref="Q4:Q5"/>
    <mergeCell ref="A6:A10"/>
    <mergeCell ref="B6:F10"/>
    <mergeCell ref="O6:O10"/>
    <mergeCell ref="P6:P10"/>
    <mergeCell ref="Q6:Q10"/>
    <mergeCell ref="O12:O16"/>
    <mergeCell ref="P12:P16"/>
    <mergeCell ref="Q12:Q16"/>
    <mergeCell ref="A17:A21"/>
    <mergeCell ref="B17:B21"/>
    <mergeCell ref="C17:C21"/>
    <mergeCell ref="D17:D21"/>
    <mergeCell ref="E17:E21"/>
    <mergeCell ref="F17:F21"/>
    <mergeCell ref="O17:O21"/>
    <mergeCell ref="A12:A16"/>
    <mergeCell ref="B12:B16"/>
    <mergeCell ref="C12:C16"/>
    <mergeCell ref="D12:D16"/>
    <mergeCell ref="E12:E16"/>
    <mergeCell ref="F12:F16"/>
    <mergeCell ref="P17:P21"/>
    <mergeCell ref="Q17:Q21"/>
    <mergeCell ref="A22:A26"/>
    <mergeCell ref="B22:B26"/>
    <mergeCell ref="C22:C26"/>
    <mergeCell ref="D22:D26"/>
    <mergeCell ref="E22:E26"/>
    <mergeCell ref="F22:F26"/>
    <mergeCell ref="O22:O26"/>
    <mergeCell ref="P22:P26"/>
    <mergeCell ref="Q22:Q26"/>
    <mergeCell ref="A27:A31"/>
    <mergeCell ref="B27:B31"/>
    <mergeCell ref="C27:C31"/>
    <mergeCell ref="D27:D31"/>
    <mergeCell ref="E27:E31"/>
    <mergeCell ref="F27:F31"/>
    <mergeCell ref="O27:O31"/>
    <mergeCell ref="P27:P31"/>
    <mergeCell ref="Q27:Q31"/>
    <mergeCell ref="O32:O36"/>
    <mergeCell ref="P32:P36"/>
    <mergeCell ref="Q32:Q36"/>
    <mergeCell ref="A37:A41"/>
    <mergeCell ref="B37:B41"/>
    <mergeCell ref="C37:C41"/>
    <mergeCell ref="D37:D41"/>
    <mergeCell ref="E37:E41"/>
    <mergeCell ref="F37:F41"/>
    <mergeCell ref="O37:O41"/>
    <mergeCell ref="A32:A36"/>
    <mergeCell ref="B32:B36"/>
    <mergeCell ref="C32:C36"/>
    <mergeCell ref="D32:D36"/>
    <mergeCell ref="E32:E36"/>
    <mergeCell ref="F32:F36"/>
    <mergeCell ref="P37:P41"/>
    <mergeCell ref="Q37:Q41"/>
    <mergeCell ref="A42:A46"/>
    <mergeCell ref="B42:B46"/>
    <mergeCell ref="C42:C46"/>
    <mergeCell ref="D42:D46"/>
    <mergeCell ref="E42:E46"/>
    <mergeCell ref="F42:F46"/>
    <mergeCell ref="O42:O46"/>
    <mergeCell ref="P42:P46"/>
    <mergeCell ref="Q42:Q46"/>
    <mergeCell ref="A47:A51"/>
    <mergeCell ref="B47:B51"/>
    <mergeCell ref="C47:C51"/>
    <mergeCell ref="D47:D51"/>
    <mergeCell ref="E47:E51"/>
    <mergeCell ref="F47:F51"/>
    <mergeCell ref="O47:O51"/>
    <mergeCell ref="P47:P51"/>
    <mergeCell ref="Q47:Q51"/>
    <mergeCell ref="O52:O56"/>
    <mergeCell ref="P52:P56"/>
    <mergeCell ref="Q52:Q56"/>
    <mergeCell ref="A57:A61"/>
    <mergeCell ref="B57:B61"/>
    <mergeCell ref="C57:C61"/>
    <mergeCell ref="D57:D61"/>
    <mergeCell ref="E57:E61"/>
    <mergeCell ref="F57:F61"/>
    <mergeCell ref="O57:O61"/>
    <mergeCell ref="A52:A56"/>
    <mergeCell ref="B52:B56"/>
    <mergeCell ref="C52:C56"/>
    <mergeCell ref="D52:D56"/>
    <mergeCell ref="E52:E56"/>
    <mergeCell ref="F52:F56"/>
    <mergeCell ref="Q62:Q66"/>
    <mergeCell ref="P57:P61"/>
    <mergeCell ref="Q57:Q61"/>
    <mergeCell ref="A62:A66"/>
    <mergeCell ref="B62:B66"/>
    <mergeCell ref="C62:C66"/>
    <mergeCell ref="D62:D66"/>
    <mergeCell ref="E62:E66"/>
    <mergeCell ref="F62:F66"/>
    <mergeCell ref="O62:O66"/>
    <mergeCell ref="P62:P66"/>
  </mergeCells>
  <pageMargins left="0.2" right="0.2" top="0.74803149606299213" bottom="0.74803149606299213" header="0.31496062992125984" footer="0.31496062992125984"/>
  <pageSetup paperSize="9" scale="73" fitToHeight="1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zoomScale="90" zoomScaleNormal="90" workbookViewId="0">
      <pane ySplit="1" topLeftCell="A17" activePane="bottomLeft" state="frozen"/>
      <selection pane="bottomLeft" activeCell="E19" sqref="E19"/>
    </sheetView>
  </sheetViews>
  <sheetFormatPr defaultRowHeight="15"/>
  <cols>
    <col min="1" max="1" width="9.28515625" style="36" bestFit="1" customWidth="1"/>
    <col min="2" max="2" width="20.140625" style="36" customWidth="1"/>
    <col min="3" max="4" width="9.140625" style="36"/>
    <col min="5" max="8" width="9.28515625" style="36" bestFit="1" customWidth="1"/>
    <col min="9" max="9" width="10.140625" style="36" customWidth="1"/>
    <col min="10" max="10" width="21.5703125" style="36" customWidth="1"/>
    <col min="11" max="11" width="22.140625" style="36" customWidth="1"/>
    <col min="12" max="12" width="20.28515625" style="36" customWidth="1"/>
    <col min="13" max="14" width="11.140625" style="36" bestFit="1" customWidth="1"/>
    <col min="15" max="16" width="11.140625" bestFit="1" customWidth="1"/>
    <col min="18" max="18" width="13.5703125" customWidth="1"/>
    <col min="19" max="19" width="16" customWidth="1"/>
    <col min="20" max="20" width="4.28515625" customWidth="1"/>
    <col min="258" max="258" width="17.7109375" customWidth="1"/>
    <col min="266" max="266" width="23.42578125" customWidth="1"/>
    <col min="267" max="267" width="22.140625" customWidth="1"/>
    <col min="268" max="268" width="11.85546875" customWidth="1"/>
    <col min="274" max="274" width="2.28515625" customWidth="1"/>
    <col min="275" max="275" width="3.5703125" customWidth="1"/>
    <col min="276" max="276" width="4.28515625" customWidth="1"/>
    <col min="514" max="514" width="17.7109375" customWidth="1"/>
    <col min="522" max="522" width="23.42578125" customWidth="1"/>
    <col min="523" max="523" width="22.140625" customWidth="1"/>
    <col min="524" max="524" width="11.85546875" customWidth="1"/>
    <col min="530" max="530" width="2.28515625" customWidth="1"/>
    <col min="531" max="531" width="3.5703125" customWidth="1"/>
    <col min="532" max="532" width="4.28515625" customWidth="1"/>
    <col min="770" max="770" width="17.7109375" customWidth="1"/>
    <col min="778" max="778" width="23.42578125" customWidth="1"/>
    <col min="779" max="779" width="22.140625" customWidth="1"/>
    <col min="780" max="780" width="11.85546875" customWidth="1"/>
    <col min="786" max="786" width="2.28515625" customWidth="1"/>
    <col min="787" max="787" width="3.5703125" customWidth="1"/>
    <col min="788" max="788" width="4.28515625" customWidth="1"/>
    <col min="1026" max="1026" width="17.7109375" customWidth="1"/>
    <col min="1034" max="1034" width="23.42578125" customWidth="1"/>
    <col min="1035" max="1035" width="22.140625" customWidth="1"/>
    <col min="1036" max="1036" width="11.85546875" customWidth="1"/>
    <col min="1042" max="1042" width="2.28515625" customWidth="1"/>
    <col min="1043" max="1043" width="3.5703125" customWidth="1"/>
    <col min="1044" max="1044" width="4.28515625" customWidth="1"/>
    <col min="1282" max="1282" width="17.7109375" customWidth="1"/>
    <col min="1290" max="1290" width="23.42578125" customWidth="1"/>
    <col min="1291" max="1291" width="22.140625" customWidth="1"/>
    <col min="1292" max="1292" width="11.85546875" customWidth="1"/>
    <col min="1298" max="1298" width="2.28515625" customWidth="1"/>
    <col min="1299" max="1299" width="3.5703125" customWidth="1"/>
    <col min="1300" max="1300" width="4.28515625" customWidth="1"/>
    <col min="1538" max="1538" width="17.7109375" customWidth="1"/>
    <col min="1546" max="1546" width="23.42578125" customWidth="1"/>
    <col min="1547" max="1547" width="22.140625" customWidth="1"/>
    <col min="1548" max="1548" width="11.85546875" customWidth="1"/>
    <col min="1554" max="1554" width="2.28515625" customWidth="1"/>
    <col min="1555" max="1555" width="3.5703125" customWidth="1"/>
    <col min="1556" max="1556" width="4.28515625" customWidth="1"/>
    <col min="1794" max="1794" width="17.7109375" customWidth="1"/>
    <col min="1802" max="1802" width="23.42578125" customWidth="1"/>
    <col min="1803" max="1803" width="22.140625" customWidth="1"/>
    <col min="1804" max="1804" width="11.85546875" customWidth="1"/>
    <col min="1810" max="1810" width="2.28515625" customWidth="1"/>
    <col min="1811" max="1811" width="3.5703125" customWidth="1"/>
    <col min="1812" max="1812" width="4.28515625" customWidth="1"/>
    <col min="2050" max="2050" width="17.7109375" customWidth="1"/>
    <col min="2058" max="2058" width="23.42578125" customWidth="1"/>
    <col min="2059" max="2059" width="22.140625" customWidth="1"/>
    <col min="2060" max="2060" width="11.85546875" customWidth="1"/>
    <col min="2066" max="2066" width="2.28515625" customWidth="1"/>
    <col min="2067" max="2067" width="3.5703125" customWidth="1"/>
    <col min="2068" max="2068" width="4.28515625" customWidth="1"/>
    <col min="2306" max="2306" width="17.7109375" customWidth="1"/>
    <col min="2314" max="2314" width="23.42578125" customWidth="1"/>
    <col min="2315" max="2315" width="22.140625" customWidth="1"/>
    <col min="2316" max="2316" width="11.85546875" customWidth="1"/>
    <col min="2322" max="2322" width="2.28515625" customWidth="1"/>
    <col min="2323" max="2323" width="3.5703125" customWidth="1"/>
    <col min="2324" max="2324" width="4.28515625" customWidth="1"/>
    <col min="2562" max="2562" width="17.7109375" customWidth="1"/>
    <col min="2570" max="2570" width="23.42578125" customWidth="1"/>
    <col min="2571" max="2571" width="22.140625" customWidth="1"/>
    <col min="2572" max="2572" width="11.85546875" customWidth="1"/>
    <col min="2578" max="2578" width="2.28515625" customWidth="1"/>
    <col min="2579" max="2579" width="3.5703125" customWidth="1"/>
    <col min="2580" max="2580" width="4.28515625" customWidth="1"/>
    <col min="2818" max="2818" width="17.7109375" customWidth="1"/>
    <col min="2826" max="2826" width="23.42578125" customWidth="1"/>
    <col min="2827" max="2827" width="22.140625" customWidth="1"/>
    <col min="2828" max="2828" width="11.85546875" customWidth="1"/>
    <col min="2834" max="2834" width="2.28515625" customWidth="1"/>
    <col min="2835" max="2835" width="3.5703125" customWidth="1"/>
    <col min="2836" max="2836" width="4.28515625" customWidth="1"/>
    <col min="3074" max="3074" width="17.7109375" customWidth="1"/>
    <col min="3082" max="3082" width="23.42578125" customWidth="1"/>
    <col min="3083" max="3083" width="22.140625" customWidth="1"/>
    <col min="3084" max="3084" width="11.85546875" customWidth="1"/>
    <col min="3090" max="3090" width="2.28515625" customWidth="1"/>
    <col min="3091" max="3091" width="3.5703125" customWidth="1"/>
    <col min="3092" max="3092" width="4.28515625" customWidth="1"/>
    <col min="3330" max="3330" width="17.7109375" customWidth="1"/>
    <col min="3338" max="3338" width="23.42578125" customWidth="1"/>
    <col min="3339" max="3339" width="22.140625" customWidth="1"/>
    <col min="3340" max="3340" width="11.85546875" customWidth="1"/>
    <col min="3346" max="3346" width="2.28515625" customWidth="1"/>
    <col min="3347" max="3347" width="3.5703125" customWidth="1"/>
    <col min="3348" max="3348" width="4.28515625" customWidth="1"/>
    <col min="3586" max="3586" width="17.7109375" customWidth="1"/>
    <col min="3594" max="3594" width="23.42578125" customWidth="1"/>
    <col min="3595" max="3595" width="22.140625" customWidth="1"/>
    <col min="3596" max="3596" width="11.85546875" customWidth="1"/>
    <col min="3602" max="3602" width="2.28515625" customWidth="1"/>
    <col min="3603" max="3603" width="3.5703125" customWidth="1"/>
    <col min="3604" max="3604" width="4.28515625" customWidth="1"/>
    <col min="3842" max="3842" width="17.7109375" customWidth="1"/>
    <col min="3850" max="3850" width="23.42578125" customWidth="1"/>
    <col min="3851" max="3851" width="22.140625" customWidth="1"/>
    <col min="3852" max="3852" width="11.85546875" customWidth="1"/>
    <col min="3858" max="3858" width="2.28515625" customWidth="1"/>
    <col min="3859" max="3859" width="3.5703125" customWidth="1"/>
    <col min="3860" max="3860" width="4.28515625" customWidth="1"/>
    <col min="4098" max="4098" width="17.7109375" customWidth="1"/>
    <col min="4106" max="4106" width="23.42578125" customWidth="1"/>
    <col min="4107" max="4107" width="22.140625" customWidth="1"/>
    <col min="4108" max="4108" width="11.85546875" customWidth="1"/>
    <col min="4114" max="4114" width="2.28515625" customWidth="1"/>
    <col min="4115" max="4115" width="3.5703125" customWidth="1"/>
    <col min="4116" max="4116" width="4.28515625" customWidth="1"/>
    <col min="4354" max="4354" width="17.7109375" customWidth="1"/>
    <col min="4362" max="4362" width="23.42578125" customWidth="1"/>
    <col min="4363" max="4363" width="22.140625" customWidth="1"/>
    <col min="4364" max="4364" width="11.85546875" customWidth="1"/>
    <col min="4370" max="4370" width="2.28515625" customWidth="1"/>
    <col min="4371" max="4371" width="3.5703125" customWidth="1"/>
    <col min="4372" max="4372" width="4.28515625" customWidth="1"/>
    <col min="4610" max="4610" width="17.7109375" customWidth="1"/>
    <col min="4618" max="4618" width="23.42578125" customWidth="1"/>
    <col min="4619" max="4619" width="22.140625" customWidth="1"/>
    <col min="4620" max="4620" width="11.85546875" customWidth="1"/>
    <col min="4626" max="4626" width="2.28515625" customWidth="1"/>
    <col min="4627" max="4627" width="3.5703125" customWidth="1"/>
    <col min="4628" max="4628" width="4.28515625" customWidth="1"/>
    <col min="4866" max="4866" width="17.7109375" customWidth="1"/>
    <col min="4874" max="4874" width="23.42578125" customWidth="1"/>
    <col min="4875" max="4875" width="22.140625" customWidth="1"/>
    <col min="4876" max="4876" width="11.85546875" customWidth="1"/>
    <col min="4882" max="4882" width="2.28515625" customWidth="1"/>
    <col min="4883" max="4883" width="3.5703125" customWidth="1"/>
    <col min="4884" max="4884" width="4.28515625" customWidth="1"/>
    <col min="5122" max="5122" width="17.7109375" customWidth="1"/>
    <col min="5130" max="5130" width="23.42578125" customWidth="1"/>
    <col min="5131" max="5131" width="22.140625" customWidth="1"/>
    <col min="5132" max="5132" width="11.85546875" customWidth="1"/>
    <col min="5138" max="5138" width="2.28515625" customWidth="1"/>
    <col min="5139" max="5139" width="3.5703125" customWidth="1"/>
    <col min="5140" max="5140" width="4.28515625" customWidth="1"/>
    <col min="5378" max="5378" width="17.7109375" customWidth="1"/>
    <col min="5386" max="5386" width="23.42578125" customWidth="1"/>
    <col min="5387" max="5387" width="22.140625" customWidth="1"/>
    <col min="5388" max="5388" width="11.85546875" customWidth="1"/>
    <col min="5394" max="5394" width="2.28515625" customWidth="1"/>
    <col min="5395" max="5395" width="3.5703125" customWidth="1"/>
    <col min="5396" max="5396" width="4.28515625" customWidth="1"/>
    <col min="5634" max="5634" width="17.7109375" customWidth="1"/>
    <col min="5642" max="5642" width="23.42578125" customWidth="1"/>
    <col min="5643" max="5643" width="22.140625" customWidth="1"/>
    <col min="5644" max="5644" width="11.85546875" customWidth="1"/>
    <col min="5650" max="5650" width="2.28515625" customWidth="1"/>
    <col min="5651" max="5651" width="3.5703125" customWidth="1"/>
    <col min="5652" max="5652" width="4.28515625" customWidth="1"/>
    <col min="5890" max="5890" width="17.7109375" customWidth="1"/>
    <col min="5898" max="5898" width="23.42578125" customWidth="1"/>
    <col min="5899" max="5899" width="22.140625" customWidth="1"/>
    <col min="5900" max="5900" width="11.85546875" customWidth="1"/>
    <col min="5906" max="5906" width="2.28515625" customWidth="1"/>
    <col min="5907" max="5907" width="3.5703125" customWidth="1"/>
    <col min="5908" max="5908" width="4.28515625" customWidth="1"/>
    <col min="6146" max="6146" width="17.7109375" customWidth="1"/>
    <col min="6154" max="6154" width="23.42578125" customWidth="1"/>
    <col min="6155" max="6155" width="22.140625" customWidth="1"/>
    <col min="6156" max="6156" width="11.85546875" customWidth="1"/>
    <col min="6162" max="6162" width="2.28515625" customWidth="1"/>
    <col min="6163" max="6163" width="3.5703125" customWidth="1"/>
    <col min="6164" max="6164" width="4.28515625" customWidth="1"/>
    <col min="6402" max="6402" width="17.7109375" customWidth="1"/>
    <col min="6410" max="6410" width="23.42578125" customWidth="1"/>
    <col min="6411" max="6411" width="22.140625" customWidth="1"/>
    <col min="6412" max="6412" width="11.85546875" customWidth="1"/>
    <col min="6418" max="6418" width="2.28515625" customWidth="1"/>
    <col min="6419" max="6419" width="3.5703125" customWidth="1"/>
    <col min="6420" max="6420" width="4.28515625" customWidth="1"/>
    <col min="6658" max="6658" width="17.7109375" customWidth="1"/>
    <col min="6666" max="6666" width="23.42578125" customWidth="1"/>
    <col min="6667" max="6667" width="22.140625" customWidth="1"/>
    <col min="6668" max="6668" width="11.85546875" customWidth="1"/>
    <col min="6674" max="6674" width="2.28515625" customWidth="1"/>
    <col min="6675" max="6675" width="3.5703125" customWidth="1"/>
    <col min="6676" max="6676" width="4.28515625" customWidth="1"/>
    <col min="6914" max="6914" width="17.7109375" customWidth="1"/>
    <col min="6922" max="6922" width="23.42578125" customWidth="1"/>
    <col min="6923" max="6923" width="22.140625" customWidth="1"/>
    <col min="6924" max="6924" width="11.85546875" customWidth="1"/>
    <col min="6930" max="6930" width="2.28515625" customWidth="1"/>
    <col min="6931" max="6931" width="3.5703125" customWidth="1"/>
    <col min="6932" max="6932" width="4.28515625" customWidth="1"/>
    <col min="7170" max="7170" width="17.7109375" customWidth="1"/>
    <col min="7178" max="7178" width="23.42578125" customWidth="1"/>
    <col min="7179" max="7179" width="22.140625" customWidth="1"/>
    <col min="7180" max="7180" width="11.85546875" customWidth="1"/>
    <col min="7186" max="7186" width="2.28515625" customWidth="1"/>
    <col min="7187" max="7187" width="3.5703125" customWidth="1"/>
    <col min="7188" max="7188" width="4.28515625" customWidth="1"/>
    <col min="7426" max="7426" width="17.7109375" customWidth="1"/>
    <col min="7434" max="7434" width="23.42578125" customWidth="1"/>
    <col min="7435" max="7435" width="22.140625" customWidth="1"/>
    <col min="7436" max="7436" width="11.85546875" customWidth="1"/>
    <col min="7442" max="7442" width="2.28515625" customWidth="1"/>
    <col min="7443" max="7443" width="3.5703125" customWidth="1"/>
    <col min="7444" max="7444" width="4.28515625" customWidth="1"/>
    <col min="7682" max="7682" width="17.7109375" customWidth="1"/>
    <col min="7690" max="7690" width="23.42578125" customWidth="1"/>
    <col min="7691" max="7691" width="22.140625" customWidth="1"/>
    <col min="7692" max="7692" width="11.85546875" customWidth="1"/>
    <col min="7698" max="7698" width="2.28515625" customWidth="1"/>
    <col min="7699" max="7699" width="3.5703125" customWidth="1"/>
    <col min="7700" max="7700" width="4.28515625" customWidth="1"/>
    <col min="7938" max="7938" width="17.7109375" customWidth="1"/>
    <col min="7946" max="7946" width="23.42578125" customWidth="1"/>
    <col min="7947" max="7947" width="22.140625" customWidth="1"/>
    <col min="7948" max="7948" width="11.85546875" customWidth="1"/>
    <col min="7954" max="7954" width="2.28515625" customWidth="1"/>
    <col min="7955" max="7955" width="3.5703125" customWidth="1"/>
    <col min="7956" max="7956" width="4.28515625" customWidth="1"/>
    <col min="8194" max="8194" width="17.7109375" customWidth="1"/>
    <col min="8202" max="8202" width="23.42578125" customWidth="1"/>
    <col min="8203" max="8203" width="22.140625" customWidth="1"/>
    <col min="8204" max="8204" width="11.85546875" customWidth="1"/>
    <col min="8210" max="8210" width="2.28515625" customWidth="1"/>
    <col min="8211" max="8211" width="3.5703125" customWidth="1"/>
    <col min="8212" max="8212" width="4.28515625" customWidth="1"/>
    <col min="8450" max="8450" width="17.7109375" customWidth="1"/>
    <col min="8458" max="8458" width="23.42578125" customWidth="1"/>
    <col min="8459" max="8459" width="22.140625" customWidth="1"/>
    <col min="8460" max="8460" width="11.85546875" customWidth="1"/>
    <col min="8466" max="8466" width="2.28515625" customWidth="1"/>
    <col min="8467" max="8467" width="3.5703125" customWidth="1"/>
    <col min="8468" max="8468" width="4.28515625" customWidth="1"/>
    <col min="8706" max="8706" width="17.7109375" customWidth="1"/>
    <col min="8714" max="8714" width="23.42578125" customWidth="1"/>
    <col min="8715" max="8715" width="22.140625" customWidth="1"/>
    <col min="8716" max="8716" width="11.85546875" customWidth="1"/>
    <col min="8722" max="8722" width="2.28515625" customWidth="1"/>
    <col min="8723" max="8723" width="3.5703125" customWidth="1"/>
    <col min="8724" max="8724" width="4.28515625" customWidth="1"/>
    <col min="8962" max="8962" width="17.7109375" customWidth="1"/>
    <col min="8970" max="8970" width="23.42578125" customWidth="1"/>
    <col min="8971" max="8971" width="22.140625" customWidth="1"/>
    <col min="8972" max="8972" width="11.85546875" customWidth="1"/>
    <col min="8978" max="8978" width="2.28515625" customWidth="1"/>
    <col min="8979" max="8979" width="3.5703125" customWidth="1"/>
    <col min="8980" max="8980" width="4.28515625" customWidth="1"/>
    <col min="9218" max="9218" width="17.7109375" customWidth="1"/>
    <col min="9226" max="9226" width="23.42578125" customWidth="1"/>
    <col min="9227" max="9227" width="22.140625" customWidth="1"/>
    <col min="9228" max="9228" width="11.85546875" customWidth="1"/>
    <col min="9234" max="9234" width="2.28515625" customWidth="1"/>
    <col min="9235" max="9235" width="3.5703125" customWidth="1"/>
    <col min="9236" max="9236" width="4.28515625" customWidth="1"/>
    <col min="9474" max="9474" width="17.7109375" customWidth="1"/>
    <col min="9482" max="9482" width="23.42578125" customWidth="1"/>
    <col min="9483" max="9483" width="22.140625" customWidth="1"/>
    <col min="9484" max="9484" width="11.85546875" customWidth="1"/>
    <col min="9490" max="9490" width="2.28515625" customWidth="1"/>
    <col min="9491" max="9491" width="3.5703125" customWidth="1"/>
    <col min="9492" max="9492" width="4.28515625" customWidth="1"/>
    <col min="9730" max="9730" width="17.7109375" customWidth="1"/>
    <col min="9738" max="9738" width="23.42578125" customWidth="1"/>
    <col min="9739" max="9739" width="22.140625" customWidth="1"/>
    <col min="9740" max="9740" width="11.85546875" customWidth="1"/>
    <col min="9746" max="9746" width="2.28515625" customWidth="1"/>
    <col min="9747" max="9747" width="3.5703125" customWidth="1"/>
    <col min="9748" max="9748" width="4.28515625" customWidth="1"/>
    <col min="9986" max="9986" width="17.7109375" customWidth="1"/>
    <col min="9994" max="9994" width="23.42578125" customWidth="1"/>
    <col min="9995" max="9995" width="22.140625" customWidth="1"/>
    <col min="9996" max="9996" width="11.85546875" customWidth="1"/>
    <col min="10002" max="10002" width="2.28515625" customWidth="1"/>
    <col min="10003" max="10003" width="3.5703125" customWidth="1"/>
    <col min="10004" max="10004" width="4.28515625" customWidth="1"/>
    <col min="10242" max="10242" width="17.7109375" customWidth="1"/>
    <col min="10250" max="10250" width="23.42578125" customWidth="1"/>
    <col min="10251" max="10251" width="22.140625" customWidth="1"/>
    <col min="10252" max="10252" width="11.85546875" customWidth="1"/>
    <col min="10258" max="10258" width="2.28515625" customWidth="1"/>
    <col min="10259" max="10259" width="3.5703125" customWidth="1"/>
    <col min="10260" max="10260" width="4.28515625" customWidth="1"/>
    <col min="10498" max="10498" width="17.7109375" customWidth="1"/>
    <col min="10506" max="10506" width="23.42578125" customWidth="1"/>
    <col min="10507" max="10507" width="22.140625" customWidth="1"/>
    <col min="10508" max="10508" width="11.85546875" customWidth="1"/>
    <col min="10514" max="10514" width="2.28515625" customWidth="1"/>
    <col min="10515" max="10515" width="3.5703125" customWidth="1"/>
    <col min="10516" max="10516" width="4.28515625" customWidth="1"/>
    <col min="10754" max="10754" width="17.7109375" customWidth="1"/>
    <col min="10762" max="10762" width="23.42578125" customWidth="1"/>
    <col min="10763" max="10763" width="22.140625" customWidth="1"/>
    <col min="10764" max="10764" width="11.85546875" customWidth="1"/>
    <col min="10770" max="10770" width="2.28515625" customWidth="1"/>
    <col min="10771" max="10771" width="3.5703125" customWidth="1"/>
    <col min="10772" max="10772" width="4.28515625" customWidth="1"/>
    <col min="11010" max="11010" width="17.7109375" customWidth="1"/>
    <col min="11018" max="11018" width="23.42578125" customWidth="1"/>
    <col min="11019" max="11019" width="22.140625" customWidth="1"/>
    <col min="11020" max="11020" width="11.85546875" customWidth="1"/>
    <col min="11026" max="11026" width="2.28515625" customWidth="1"/>
    <col min="11027" max="11027" width="3.5703125" customWidth="1"/>
    <col min="11028" max="11028" width="4.28515625" customWidth="1"/>
    <col min="11266" max="11266" width="17.7109375" customWidth="1"/>
    <col min="11274" max="11274" width="23.42578125" customWidth="1"/>
    <col min="11275" max="11275" width="22.140625" customWidth="1"/>
    <col min="11276" max="11276" width="11.85546875" customWidth="1"/>
    <col min="11282" max="11282" width="2.28515625" customWidth="1"/>
    <col min="11283" max="11283" width="3.5703125" customWidth="1"/>
    <col min="11284" max="11284" width="4.28515625" customWidth="1"/>
    <col min="11522" max="11522" width="17.7109375" customWidth="1"/>
    <col min="11530" max="11530" width="23.42578125" customWidth="1"/>
    <col min="11531" max="11531" width="22.140625" customWidth="1"/>
    <col min="11532" max="11532" width="11.85546875" customWidth="1"/>
    <col min="11538" max="11538" width="2.28515625" customWidth="1"/>
    <col min="11539" max="11539" width="3.5703125" customWidth="1"/>
    <col min="11540" max="11540" width="4.28515625" customWidth="1"/>
    <col min="11778" max="11778" width="17.7109375" customWidth="1"/>
    <col min="11786" max="11786" width="23.42578125" customWidth="1"/>
    <col min="11787" max="11787" width="22.140625" customWidth="1"/>
    <col min="11788" max="11788" width="11.85546875" customWidth="1"/>
    <col min="11794" max="11794" width="2.28515625" customWidth="1"/>
    <col min="11795" max="11795" width="3.5703125" customWidth="1"/>
    <col min="11796" max="11796" width="4.28515625" customWidth="1"/>
    <col min="12034" max="12034" width="17.7109375" customWidth="1"/>
    <col min="12042" max="12042" width="23.42578125" customWidth="1"/>
    <col min="12043" max="12043" width="22.140625" customWidth="1"/>
    <col min="12044" max="12044" width="11.85546875" customWidth="1"/>
    <col min="12050" max="12050" width="2.28515625" customWidth="1"/>
    <col min="12051" max="12051" width="3.5703125" customWidth="1"/>
    <col min="12052" max="12052" width="4.28515625" customWidth="1"/>
    <col min="12290" max="12290" width="17.7109375" customWidth="1"/>
    <col min="12298" max="12298" width="23.42578125" customWidth="1"/>
    <col min="12299" max="12299" width="22.140625" customWidth="1"/>
    <col min="12300" max="12300" width="11.85546875" customWidth="1"/>
    <col min="12306" max="12306" width="2.28515625" customWidth="1"/>
    <col min="12307" max="12307" width="3.5703125" customWidth="1"/>
    <col min="12308" max="12308" width="4.28515625" customWidth="1"/>
    <col min="12546" max="12546" width="17.7109375" customWidth="1"/>
    <col min="12554" max="12554" width="23.42578125" customWidth="1"/>
    <col min="12555" max="12555" width="22.140625" customWidth="1"/>
    <col min="12556" max="12556" width="11.85546875" customWidth="1"/>
    <col min="12562" max="12562" width="2.28515625" customWidth="1"/>
    <col min="12563" max="12563" width="3.5703125" customWidth="1"/>
    <col min="12564" max="12564" width="4.28515625" customWidth="1"/>
    <col min="12802" max="12802" width="17.7109375" customWidth="1"/>
    <col min="12810" max="12810" width="23.42578125" customWidth="1"/>
    <col min="12811" max="12811" width="22.140625" customWidth="1"/>
    <col min="12812" max="12812" width="11.85546875" customWidth="1"/>
    <col min="12818" max="12818" width="2.28515625" customWidth="1"/>
    <col min="12819" max="12819" width="3.5703125" customWidth="1"/>
    <col min="12820" max="12820" width="4.28515625" customWidth="1"/>
    <col min="13058" max="13058" width="17.7109375" customWidth="1"/>
    <col min="13066" max="13066" width="23.42578125" customWidth="1"/>
    <col min="13067" max="13067" width="22.140625" customWidth="1"/>
    <col min="13068" max="13068" width="11.85546875" customWidth="1"/>
    <col min="13074" max="13074" width="2.28515625" customWidth="1"/>
    <col min="13075" max="13075" width="3.5703125" customWidth="1"/>
    <col min="13076" max="13076" width="4.28515625" customWidth="1"/>
    <col min="13314" max="13314" width="17.7109375" customWidth="1"/>
    <col min="13322" max="13322" width="23.42578125" customWidth="1"/>
    <col min="13323" max="13323" width="22.140625" customWidth="1"/>
    <col min="13324" max="13324" width="11.85546875" customWidth="1"/>
    <col min="13330" max="13330" width="2.28515625" customWidth="1"/>
    <col min="13331" max="13331" width="3.5703125" customWidth="1"/>
    <col min="13332" max="13332" width="4.28515625" customWidth="1"/>
    <col min="13570" max="13570" width="17.7109375" customWidth="1"/>
    <col min="13578" max="13578" width="23.42578125" customWidth="1"/>
    <col min="13579" max="13579" width="22.140625" customWidth="1"/>
    <col min="13580" max="13580" width="11.85546875" customWidth="1"/>
    <col min="13586" max="13586" width="2.28515625" customWidth="1"/>
    <col min="13587" max="13587" width="3.5703125" customWidth="1"/>
    <col min="13588" max="13588" width="4.28515625" customWidth="1"/>
    <col min="13826" max="13826" width="17.7109375" customWidth="1"/>
    <col min="13834" max="13834" width="23.42578125" customWidth="1"/>
    <col min="13835" max="13835" width="22.140625" customWidth="1"/>
    <col min="13836" max="13836" width="11.85546875" customWidth="1"/>
    <col min="13842" max="13842" width="2.28515625" customWidth="1"/>
    <col min="13843" max="13843" width="3.5703125" customWidth="1"/>
    <col min="13844" max="13844" width="4.28515625" customWidth="1"/>
    <col min="14082" max="14082" width="17.7109375" customWidth="1"/>
    <col min="14090" max="14090" width="23.42578125" customWidth="1"/>
    <col min="14091" max="14091" width="22.140625" customWidth="1"/>
    <col min="14092" max="14092" width="11.85546875" customWidth="1"/>
    <col min="14098" max="14098" width="2.28515625" customWidth="1"/>
    <col min="14099" max="14099" width="3.5703125" customWidth="1"/>
    <col min="14100" max="14100" width="4.28515625" customWidth="1"/>
    <col min="14338" max="14338" width="17.7109375" customWidth="1"/>
    <col min="14346" max="14346" width="23.42578125" customWidth="1"/>
    <col min="14347" max="14347" width="22.140625" customWidth="1"/>
    <col min="14348" max="14348" width="11.85546875" customWidth="1"/>
    <col min="14354" max="14354" width="2.28515625" customWidth="1"/>
    <col min="14355" max="14355" width="3.5703125" customWidth="1"/>
    <col min="14356" max="14356" width="4.28515625" customWidth="1"/>
    <col min="14594" max="14594" width="17.7109375" customWidth="1"/>
    <col min="14602" max="14602" width="23.42578125" customWidth="1"/>
    <col min="14603" max="14603" width="22.140625" customWidth="1"/>
    <col min="14604" max="14604" width="11.85546875" customWidth="1"/>
    <col min="14610" max="14610" width="2.28515625" customWidth="1"/>
    <col min="14611" max="14611" width="3.5703125" customWidth="1"/>
    <col min="14612" max="14612" width="4.28515625" customWidth="1"/>
    <col min="14850" max="14850" width="17.7109375" customWidth="1"/>
    <col min="14858" max="14858" width="23.42578125" customWidth="1"/>
    <col min="14859" max="14859" width="22.140625" customWidth="1"/>
    <col min="14860" max="14860" width="11.85546875" customWidth="1"/>
    <col min="14866" max="14866" width="2.28515625" customWidth="1"/>
    <col min="14867" max="14867" width="3.5703125" customWidth="1"/>
    <col min="14868" max="14868" width="4.28515625" customWidth="1"/>
    <col min="15106" max="15106" width="17.7109375" customWidth="1"/>
    <col min="15114" max="15114" width="23.42578125" customWidth="1"/>
    <col min="15115" max="15115" width="22.140625" customWidth="1"/>
    <col min="15116" max="15116" width="11.85546875" customWidth="1"/>
    <col min="15122" max="15122" width="2.28515625" customWidth="1"/>
    <col min="15123" max="15123" width="3.5703125" customWidth="1"/>
    <col min="15124" max="15124" width="4.28515625" customWidth="1"/>
    <col min="15362" max="15362" width="17.7109375" customWidth="1"/>
    <col min="15370" max="15370" width="23.42578125" customWidth="1"/>
    <col min="15371" max="15371" width="22.140625" customWidth="1"/>
    <col min="15372" max="15372" width="11.85546875" customWidth="1"/>
    <col min="15378" max="15378" width="2.28515625" customWidth="1"/>
    <col min="15379" max="15379" width="3.5703125" customWidth="1"/>
    <col min="15380" max="15380" width="4.28515625" customWidth="1"/>
    <col min="15618" max="15618" width="17.7109375" customWidth="1"/>
    <col min="15626" max="15626" width="23.42578125" customWidth="1"/>
    <col min="15627" max="15627" width="22.140625" customWidth="1"/>
    <col min="15628" max="15628" width="11.85546875" customWidth="1"/>
    <col min="15634" max="15634" width="2.28515625" customWidth="1"/>
    <col min="15635" max="15635" width="3.5703125" customWidth="1"/>
    <col min="15636" max="15636" width="4.28515625" customWidth="1"/>
    <col min="15874" max="15874" width="17.7109375" customWidth="1"/>
    <col min="15882" max="15882" width="23.42578125" customWidth="1"/>
    <col min="15883" max="15883" width="22.140625" customWidth="1"/>
    <col min="15884" max="15884" width="11.85546875" customWidth="1"/>
    <col min="15890" max="15890" width="2.28515625" customWidth="1"/>
    <col min="15891" max="15891" width="3.5703125" customWidth="1"/>
    <col min="15892" max="15892" width="4.28515625" customWidth="1"/>
    <col min="16130" max="16130" width="17.7109375" customWidth="1"/>
    <col min="16138" max="16138" width="23.42578125" customWidth="1"/>
    <col min="16139" max="16139" width="22.140625" customWidth="1"/>
    <col min="16140" max="16140" width="11.85546875" customWidth="1"/>
    <col min="16146" max="16146" width="2.28515625" customWidth="1"/>
    <col min="16147" max="16147" width="3.5703125" customWidth="1"/>
    <col min="16148" max="16148" width="4.28515625" customWidth="1"/>
  </cols>
  <sheetData>
    <row r="1" spans="1:20">
      <c r="A1" s="1105"/>
      <c r="B1" s="696"/>
      <c r="C1" s="1106"/>
      <c r="D1" s="1107"/>
      <c r="E1" s="696"/>
      <c r="F1" s="696"/>
      <c r="G1" s="696"/>
      <c r="H1" s="696"/>
      <c r="I1" s="696"/>
      <c r="J1" s="696"/>
      <c r="K1" s="696"/>
      <c r="L1" s="1108"/>
      <c r="M1" s="696"/>
      <c r="N1" s="696"/>
    </row>
    <row r="2" spans="1:20">
      <c r="A2" s="1109" t="s">
        <v>3090</v>
      </c>
      <c r="B2" s="1109"/>
      <c r="C2" s="1109"/>
      <c r="D2" s="1109"/>
      <c r="E2" s="1109"/>
      <c r="F2" s="1109"/>
      <c r="G2" s="1109"/>
      <c r="H2" s="1109"/>
      <c r="I2" s="1109"/>
      <c r="J2" s="1109"/>
      <c r="K2" s="1109"/>
      <c r="L2" s="1109"/>
      <c r="M2" s="1109"/>
      <c r="N2" s="1109"/>
    </row>
    <row r="3" spans="1:20">
      <c r="A3" s="1105"/>
      <c r="B3" s="696"/>
      <c r="C3" s="1106"/>
      <c r="D3" s="1107"/>
      <c r="E3" s="696"/>
      <c r="F3" s="696"/>
      <c r="G3" s="696"/>
      <c r="H3" s="696"/>
      <c r="I3" s="696"/>
      <c r="J3" s="696"/>
      <c r="K3" s="696"/>
      <c r="L3" s="1108"/>
      <c r="M3" s="696"/>
      <c r="N3" s="696"/>
    </row>
    <row r="4" spans="1:20" ht="40.5" customHeight="1">
      <c r="A4" s="944" t="s">
        <v>441</v>
      </c>
      <c r="B4" s="944" t="s">
        <v>3029</v>
      </c>
      <c r="C4" s="944" t="s">
        <v>3030</v>
      </c>
      <c r="D4" s="944" t="s">
        <v>3031</v>
      </c>
      <c r="E4" s="944" t="s">
        <v>3032</v>
      </c>
      <c r="F4" s="944"/>
      <c r="G4" s="944"/>
      <c r="H4" s="945" t="s">
        <v>3033</v>
      </c>
      <c r="I4" s="945" t="s">
        <v>3034</v>
      </c>
      <c r="J4" s="945" t="s">
        <v>3035</v>
      </c>
      <c r="K4" s="945" t="s">
        <v>3036</v>
      </c>
      <c r="L4" s="946" t="s">
        <v>3037</v>
      </c>
      <c r="M4" s="945" t="s">
        <v>3038</v>
      </c>
      <c r="N4" s="945" t="s">
        <v>3039</v>
      </c>
      <c r="O4" s="695"/>
      <c r="P4" s="695"/>
    </row>
    <row r="5" spans="1:20" ht="40.5" customHeight="1">
      <c r="A5" s="944"/>
      <c r="B5" s="944"/>
      <c r="C5" s="944"/>
      <c r="D5" s="944"/>
      <c r="E5" s="743" t="s">
        <v>3040</v>
      </c>
      <c r="F5" s="945" t="s">
        <v>3158</v>
      </c>
      <c r="G5" s="945"/>
      <c r="H5" s="945"/>
      <c r="I5" s="945"/>
      <c r="J5" s="945"/>
      <c r="K5" s="945"/>
      <c r="L5" s="946"/>
      <c r="M5" s="945"/>
      <c r="N5" s="945"/>
      <c r="O5" s="695"/>
      <c r="P5" s="695"/>
    </row>
    <row r="6" spans="1:20" ht="40.5" customHeight="1">
      <c r="A6" s="944"/>
      <c r="B6" s="944"/>
      <c r="C6" s="944"/>
      <c r="D6" s="944"/>
      <c r="E6" s="743" t="s">
        <v>3041</v>
      </c>
      <c r="F6" s="743" t="s">
        <v>3042</v>
      </c>
      <c r="G6" s="743" t="s">
        <v>3041</v>
      </c>
      <c r="H6" s="945"/>
      <c r="I6" s="945"/>
      <c r="J6" s="945"/>
      <c r="K6" s="945"/>
      <c r="L6" s="946"/>
      <c r="M6" s="945"/>
      <c r="N6" s="945"/>
      <c r="O6" s="695"/>
      <c r="P6" s="695"/>
    </row>
    <row r="7" spans="1:20">
      <c r="A7" s="1110"/>
      <c r="B7" s="1111" t="s">
        <v>3043</v>
      </c>
      <c r="C7" s="1112"/>
      <c r="D7" s="1112"/>
      <c r="E7" s="1112"/>
      <c r="F7" s="1113"/>
      <c r="G7" s="1112"/>
      <c r="H7" s="1112"/>
      <c r="I7" s="1112"/>
      <c r="J7" s="1112"/>
      <c r="K7" s="1114"/>
      <c r="L7" s="1115"/>
      <c r="M7" s="1116">
        <f>AVERAGE(M8,M9,M11,M12,M13,M14,M16,M17,M18,M19,M21,M23,M24)</f>
        <v>96.689940828402371</v>
      </c>
      <c r="N7" s="1116">
        <v>109.6</v>
      </c>
      <c r="O7" s="697"/>
      <c r="P7" s="697"/>
    </row>
    <row r="8" spans="1:20" ht="75" customHeight="1">
      <c r="A8" s="1110" t="s">
        <v>3044</v>
      </c>
      <c r="B8" s="1117" t="s">
        <v>3045</v>
      </c>
      <c r="C8" s="743" t="s">
        <v>3046</v>
      </c>
      <c r="D8" s="700"/>
      <c r="E8" s="734">
        <v>47.8</v>
      </c>
      <c r="F8" s="741">
        <v>50.4</v>
      </c>
      <c r="G8" s="734">
        <v>52</v>
      </c>
      <c r="H8" s="699">
        <f>G8/F8*100</f>
        <v>103.17460317460319</v>
      </c>
      <c r="I8" s="699">
        <f>G8/E8*100</f>
        <v>108.78661087866111</v>
      </c>
      <c r="J8" s="700" t="s">
        <v>3047</v>
      </c>
      <c r="K8" s="700"/>
      <c r="L8" s="1115" t="s">
        <v>3048</v>
      </c>
      <c r="M8" s="699">
        <v>100</v>
      </c>
      <c r="N8" s="699">
        <f>I8</f>
        <v>108.78661087866111</v>
      </c>
      <c r="O8" s="698"/>
      <c r="P8" s="698"/>
    </row>
    <row r="9" spans="1:20" ht="33.75">
      <c r="A9" s="1110" t="s">
        <v>3049</v>
      </c>
      <c r="B9" s="700" t="s">
        <v>3050</v>
      </c>
      <c r="C9" s="700" t="s">
        <v>3051</v>
      </c>
      <c r="D9" s="700"/>
      <c r="E9" s="733">
        <v>238.1</v>
      </c>
      <c r="F9" s="741">
        <v>171</v>
      </c>
      <c r="G9" s="733">
        <v>244.05</v>
      </c>
      <c r="H9" s="699">
        <f>G9/F9*100</f>
        <v>142.71929824561406</v>
      </c>
      <c r="I9" s="699">
        <v>102.5</v>
      </c>
      <c r="J9" s="700"/>
      <c r="K9" s="700"/>
      <c r="L9" s="1115" t="s">
        <v>3048</v>
      </c>
      <c r="M9" s="699">
        <v>100</v>
      </c>
      <c r="N9" s="699">
        <f>I9</f>
        <v>102.5</v>
      </c>
    </row>
    <row r="10" spans="1:20">
      <c r="A10" s="1110">
        <v>1</v>
      </c>
      <c r="B10" s="1118" t="s">
        <v>3052</v>
      </c>
      <c r="C10" s="1119"/>
      <c r="D10" s="1119"/>
      <c r="E10" s="1120"/>
      <c r="F10" s="1120"/>
      <c r="G10" s="1119"/>
      <c r="H10" s="1119"/>
      <c r="I10" s="1119"/>
      <c r="J10" s="1119"/>
      <c r="K10" s="1121"/>
      <c r="L10" s="1115"/>
      <c r="M10" s="699">
        <f>(M11+M12+M13+M14)/4</f>
        <v>99.174999999999997</v>
      </c>
      <c r="N10" s="699">
        <f>(N11+N12+N13+N14)/4</f>
        <v>117.02649500801684</v>
      </c>
      <c r="O10" s="697"/>
      <c r="P10" s="697"/>
    </row>
    <row r="11" spans="1:20" ht="99" customHeight="1">
      <c r="A11" s="1122" t="s">
        <v>173</v>
      </c>
      <c r="B11" s="700" t="s">
        <v>3053</v>
      </c>
      <c r="C11" s="743" t="s">
        <v>3046</v>
      </c>
      <c r="D11" s="743"/>
      <c r="E11" s="1123">
        <v>91.01</v>
      </c>
      <c r="F11" s="741">
        <v>93.8</v>
      </c>
      <c r="G11" s="1123">
        <v>90.7</v>
      </c>
      <c r="H11" s="699">
        <f t="shared" ref="H11:H14" si="0">G11/F11*100</f>
        <v>96.695095948827301</v>
      </c>
      <c r="I11" s="699">
        <f t="shared" ref="I11:I14" si="1">G11/E11*100</f>
        <v>99.659378090319734</v>
      </c>
      <c r="J11" s="700" t="s">
        <v>3161</v>
      </c>
      <c r="K11" s="700" t="s">
        <v>3191</v>
      </c>
      <c r="L11" s="1115" t="s">
        <v>3048</v>
      </c>
      <c r="M11" s="699">
        <v>96.7</v>
      </c>
      <c r="N11" s="699">
        <f t="shared" ref="N11:N12" si="2">I11</f>
        <v>99.659378090319734</v>
      </c>
    </row>
    <row r="12" spans="1:20" ht="117" customHeight="1">
      <c r="A12" s="1122" t="s">
        <v>174</v>
      </c>
      <c r="B12" s="1124" t="s">
        <v>3054</v>
      </c>
      <c r="C12" s="743" t="s">
        <v>3046</v>
      </c>
      <c r="D12" s="743"/>
      <c r="E12" s="1125">
        <v>30.9</v>
      </c>
      <c r="F12" s="741">
        <v>31.6</v>
      </c>
      <c r="G12" s="1125">
        <v>36.6</v>
      </c>
      <c r="H12" s="733">
        <f t="shared" si="0"/>
        <v>115.82278481012658</v>
      </c>
      <c r="I12" s="699">
        <f t="shared" si="1"/>
        <v>118.44660194174759</v>
      </c>
      <c r="J12" s="700" t="s">
        <v>3160</v>
      </c>
      <c r="K12" s="700"/>
      <c r="L12" s="1115" t="s">
        <v>3048</v>
      </c>
      <c r="M12" s="699">
        <v>100</v>
      </c>
      <c r="N12" s="699">
        <f t="shared" si="2"/>
        <v>118.44660194174759</v>
      </c>
      <c r="O12" s="2"/>
      <c r="P12" s="2"/>
    </row>
    <row r="13" spans="1:20" ht="116.25" customHeight="1">
      <c r="A13" s="1122" t="s">
        <v>531</v>
      </c>
      <c r="B13" s="1117" t="s">
        <v>3055</v>
      </c>
      <c r="C13" s="743" t="s">
        <v>3046</v>
      </c>
      <c r="D13" s="743"/>
      <c r="E13" s="1126">
        <v>16.2</v>
      </c>
      <c r="F13" s="741">
        <v>14.7</v>
      </c>
      <c r="G13" s="1126">
        <v>22.8</v>
      </c>
      <c r="H13" s="699">
        <f t="shared" si="0"/>
        <v>155.10204081632654</v>
      </c>
      <c r="I13" s="699">
        <f t="shared" si="1"/>
        <v>140.74074074074073</v>
      </c>
      <c r="J13" s="700" t="s">
        <v>3160</v>
      </c>
      <c r="K13" s="700"/>
      <c r="L13" s="1115" t="s">
        <v>3048</v>
      </c>
      <c r="M13" s="699">
        <v>100</v>
      </c>
      <c r="N13" s="699">
        <v>125</v>
      </c>
      <c r="O13" s="2"/>
      <c r="P13" s="2"/>
    </row>
    <row r="14" spans="1:20" ht="90.75" customHeight="1">
      <c r="A14" s="1122" t="s">
        <v>532</v>
      </c>
      <c r="B14" s="700" t="s">
        <v>3056</v>
      </c>
      <c r="C14" s="743" t="s">
        <v>3046</v>
      </c>
      <c r="D14" s="743"/>
      <c r="E14" s="733">
        <v>18.2</v>
      </c>
      <c r="F14" s="741">
        <v>22.3</v>
      </c>
      <c r="G14" s="733">
        <v>49.2</v>
      </c>
      <c r="H14" s="699">
        <f t="shared" si="0"/>
        <v>220.62780269058297</v>
      </c>
      <c r="I14" s="699">
        <f t="shared" si="1"/>
        <v>270.32967032967036</v>
      </c>
      <c r="J14" s="700" t="s">
        <v>3160</v>
      </c>
      <c r="K14" s="700"/>
      <c r="L14" s="1115" t="s">
        <v>3048</v>
      </c>
      <c r="M14" s="699">
        <v>100</v>
      </c>
      <c r="N14" s="699">
        <v>125</v>
      </c>
      <c r="O14" s="2"/>
      <c r="P14" s="2"/>
    </row>
    <row r="15" spans="1:20">
      <c r="A15" s="1110">
        <v>2</v>
      </c>
      <c r="B15" s="1118" t="s">
        <v>3057</v>
      </c>
      <c r="C15" s="1119"/>
      <c r="D15" s="1119"/>
      <c r="E15" s="1127"/>
      <c r="F15" s="1120"/>
      <c r="G15" s="1119"/>
      <c r="H15" s="1119"/>
      <c r="I15" s="1119"/>
      <c r="J15" s="1119"/>
      <c r="K15" s="1121"/>
      <c r="L15" s="1115"/>
      <c r="M15" s="699">
        <f>(M16+M17+M18+M19)/4</f>
        <v>90.067307692307693</v>
      </c>
      <c r="N15" s="1128">
        <f>SUM(N16+N18+N19)/3</f>
        <v>96.790143264771288</v>
      </c>
      <c r="O15" s="697" t="e">
        <f>AVERAGE(M16,M17,M18,M19,#REF!,#REF!,#REF!)</f>
        <v>#REF!</v>
      </c>
      <c r="P15" s="697">
        <f>AVERAGE(N16:N19)</f>
        <v>96.790143264771288</v>
      </c>
    </row>
    <row r="16" spans="1:20" ht="72" customHeight="1">
      <c r="A16" s="1122" t="s">
        <v>175</v>
      </c>
      <c r="B16" s="1117" t="s">
        <v>3058</v>
      </c>
      <c r="C16" s="743" t="s">
        <v>3059</v>
      </c>
      <c r="D16" s="743"/>
      <c r="E16" s="733">
        <v>86</v>
      </c>
      <c r="F16" s="741">
        <v>81</v>
      </c>
      <c r="G16" s="733">
        <v>85</v>
      </c>
      <c r="H16" s="699">
        <f t="shared" ref="H16:H19" si="3">G16/F16*100</f>
        <v>104.93827160493827</v>
      </c>
      <c r="I16" s="699">
        <f t="shared" ref="I16:I18" si="4">G16/E16*100</f>
        <v>98.837209302325576</v>
      </c>
      <c r="J16" s="700" t="s">
        <v>3188</v>
      </c>
      <c r="K16" s="700" t="s">
        <v>3189</v>
      </c>
      <c r="L16" s="1115" t="s">
        <v>3048</v>
      </c>
      <c r="M16" s="699">
        <v>100</v>
      </c>
      <c r="N16" s="699">
        <f t="shared" ref="N16:N21" si="5">I16</f>
        <v>98.837209302325576</v>
      </c>
      <c r="O16" s="948"/>
      <c r="P16" s="949"/>
      <c r="Q16" s="949"/>
      <c r="R16" s="949"/>
      <c r="S16" s="949"/>
      <c r="T16" s="949"/>
    </row>
    <row r="17" spans="1:16" ht="162.75" customHeight="1">
      <c r="A17" s="1122" t="s">
        <v>176</v>
      </c>
      <c r="B17" s="700" t="s">
        <v>3060</v>
      </c>
      <c r="C17" s="743" t="s">
        <v>3046</v>
      </c>
      <c r="D17" s="743" t="s">
        <v>3068</v>
      </c>
      <c r="E17" s="1129">
        <v>100</v>
      </c>
      <c r="F17" s="741">
        <v>100</v>
      </c>
      <c r="G17" s="1129">
        <v>100</v>
      </c>
      <c r="H17" s="699">
        <f t="shared" si="3"/>
        <v>100</v>
      </c>
      <c r="I17" s="699">
        <f t="shared" si="4"/>
        <v>100</v>
      </c>
      <c r="J17" s="700"/>
      <c r="K17" s="700"/>
      <c r="L17" s="1115" t="s">
        <v>3048</v>
      </c>
      <c r="M17" s="699">
        <v>100</v>
      </c>
      <c r="N17" s="699" t="s">
        <v>2847</v>
      </c>
      <c r="O17" s="2"/>
      <c r="P17" s="2"/>
    </row>
    <row r="18" spans="1:16" ht="78" customHeight="1">
      <c r="A18" s="1122" t="s">
        <v>177</v>
      </c>
      <c r="B18" s="1117" t="s">
        <v>3061</v>
      </c>
      <c r="C18" s="743" t="s">
        <v>3046</v>
      </c>
      <c r="D18" s="743"/>
      <c r="E18" s="733">
        <v>44.31</v>
      </c>
      <c r="F18" s="741">
        <v>39.6</v>
      </c>
      <c r="G18" s="733">
        <v>30.5</v>
      </c>
      <c r="H18" s="699">
        <f t="shared" si="3"/>
        <v>77.020202020202021</v>
      </c>
      <c r="I18" s="699">
        <f t="shared" si="4"/>
        <v>68.833220491988257</v>
      </c>
      <c r="J18" s="700" t="s">
        <v>3162</v>
      </c>
      <c r="K18" s="700" t="s">
        <v>3062</v>
      </c>
      <c r="L18" s="1115" t="s">
        <v>3048</v>
      </c>
      <c r="M18" s="699">
        <v>77</v>
      </c>
      <c r="N18" s="699">
        <f t="shared" si="5"/>
        <v>68.833220491988257</v>
      </c>
      <c r="O18" s="36"/>
      <c r="P18" s="36"/>
    </row>
    <row r="19" spans="1:16" ht="78" customHeight="1">
      <c r="A19" s="1122" t="s">
        <v>581</v>
      </c>
      <c r="B19" s="1117" t="s">
        <v>3063</v>
      </c>
      <c r="C19" s="743" t="s">
        <v>3046</v>
      </c>
      <c r="D19" s="743"/>
      <c r="E19" s="734">
        <v>35.299999999999997</v>
      </c>
      <c r="F19" s="741">
        <v>52</v>
      </c>
      <c r="G19" s="734">
        <v>43.3</v>
      </c>
      <c r="H19" s="699">
        <f t="shared" si="3"/>
        <v>83.269230769230759</v>
      </c>
      <c r="I19" s="699">
        <f>G19/E19*100</f>
        <v>122.66288951841359</v>
      </c>
      <c r="J19" s="700" t="s">
        <v>3159</v>
      </c>
      <c r="K19" s="700" t="s">
        <v>3190</v>
      </c>
      <c r="L19" s="1115" t="s">
        <v>3048</v>
      </c>
      <c r="M19" s="699">
        <f>H19</f>
        <v>83.269230769230759</v>
      </c>
      <c r="N19" s="699">
        <v>122.7</v>
      </c>
    </row>
    <row r="20" spans="1:16">
      <c r="A20" s="1110">
        <v>3</v>
      </c>
      <c r="B20" s="1130" t="s">
        <v>3064</v>
      </c>
      <c r="C20" s="700"/>
      <c r="D20" s="700"/>
      <c r="E20" s="1131"/>
      <c r="F20" s="701"/>
      <c r="G20" s="1131"/>
      <c r="H20" s="743" t="s">
        <v>2847</v>
      </c>
      <c r="I20" s="743" t="s">
        <v>2847</v>
      </c>
      <c r="J20" s="700"/>
      <c r="K20" s="700"/>
      <c r="L20" s="1115"/>
      <c r="M20" s="699">
        <f>(M21+M22+M23+M24)/4</f>
        <v>100</v>
      </c>
      <c r="N20" s="1128">
        <f>(N21+N22+N23)/3</f>
        <v>115.24609843937576</v>
      </c>
      <c r="O20" s="697">
        <f>AVERAGE(M21:M24)</f>
        <v>100</v>
      </c>
      <c r="P20" s="697">
        <f>AVERAGE(N21:N24)</f>
        <v>115.24609843937576</v>
      </c>
    </row>
    <row r="21" spans="1:16" ht="59.25" customHeight="1">
      <c r="A21" s="1122" t="s">
        <v>178</v>
      </c>
      <c r="B21" s="700" t="s">
        <v>3065</v>
      </c>
      <c r="C21" s="743" t="s">
        <v>3046</v>
      </c>
      <c r="D21" s="743"/>
      <c r="E21" s="733">
        <v>47.6</v>
      </c>
      <c r="F21" s="741">
        <v>49</v>
      </c>
      <c r="G21" s="733">
        <v>49.7</v>
      </c>
      <c r="H21" s="699">
        <f>G21/F21*100</f>
        <v>101.42857142857142</v>
      </c>
      <c r="I21" s="699">
        <f>G21/E21*100</f>
        <v>104.41176470588236</v>
      </c>
      <c r="J21" s="700"/>
      <c r="K21" s="700"/>
      <c r="L21" s="1115" t="s">
        <v>3048</v>
      </c>
      <c r="M21" s="699">
        <v>100</v>
      </c>
      <c r="N21" s="699">
        <f t="shared" si="5"/>
        <v>104.41176470588236</v>
      </c>
    </row>
    <row r="22" spans="1:16" ht="45" customHeight="1">
      <c r="A22" s="1122" t="s">
        <v>179</v>
      </c>
      <c r="B22" s="700" t="s">
        <v>3066</v>
      </c>
      <c r="C22" s="743" t="s">
        <v>3067</v>
      </c>
      <c r="D22" s="743"/>
      <c r="E22" s="734">
        <v>49</v>
      </c>
      <c r="F22" s="741">
        <v>55</v>
      </c>
      <c r="G22" s="734">
        <v>57</v>
      </c>
      <c r="H22" s="699">
        <f>G22/F22*100</f>
        <v>103.63636363636364</v>
      </c>
      <c r="I22" s="699">
        <f>G22/E22*100</f>
        <v>116.32653061224489</v>
      </c>
      <c r="K22" s="700"/>
      <c r="L22" s="1115" t="s">
        <v>3048</v>
      </c>
      <c r="M22" s="699">
        <v>100</v>
      </c>
      <c r="N22" s="699">
        <f>I22</f>
        <v>116.32653061224489</v>
      </c>
    </row>
    <row r="23" spans="1:16" ht="54.75" customHeight="1">
      <c r="A23" s="1122" t="s">
        <v>296</v>
      </c>
      <c r="B23" s="700" t="s">
        <v>3069</v>
      </c>
      <c r="C23" s="743" t="s">
        <v>3046</v>
      </c>
      <c r="D23" s="743"/>
      <c r="E23" s="733">
        <v>41</v>
      </c>
      <c r="F23" s="741">
        <v>60.5</v>
      </c>
      <c r="G23" s="733">
        <v>71.400000000000006</v>
      </c>
      <c r="H23" s="699">
        <f>G23/F23*100</f>
        <v>118.01652892561985</v>
      </c>
      <c r="I23" s="699">
        <f>G23/E23*100</f>
        <v>174.14634146341464</v>
      </c>
      <c r="J23" s="700"/>
      <c r="K23" s="700"/>
      <c r="L23" s="1115" t="s">
        <v>3048</v>
      </c>
      <c r="M23" s="699">
        <v>100</v>
      </c>
      <c r="N23" s="699">
        <v>125</v>
      </c>
    </row>
    <row r="24" spans="1:16" ht="68.25" customHeight="1">
      <c r="A24" s="1122" t="s">
        <v>619</v>
      </c>
      <c r="B24" s="1117" t="s">
        <v>3070</v>
      </c>
      <c r="C24" s="743" t="s">
        <v>3059</v>
      </c>
      <c r="D24" s="743" t="s">
        <v>3068</v>
      </c>
      <c r="E24" s="734">
        <v>1957</v>
      </c>
      <c r="F24" s="741">
        <v>2002</v>
      </c>
      <c r="G24" s="734">
        <f>E24+86+82</f>
        <v>2125</v>
      </c>
      <c r="H24" s="699">
        <f>G24/F24*100</f>
        <v>106.14385614385615</v>
      </c>
      <c r="I24" s="699">
        <f>G24/E24*100</f>
        <v>108.58456821665814</v>
      </c>
      <c r="J24" s="700" t="s">
        <v>3047</v>
      </c>
      <c r="K24" s="700"/>
      <c r="L24" s="1115" t="s">
        <v>3048</v>
      </c>
      <c r="M24" s="699">
        <v>100</v>
      </c>
      <c r="N24" s="699" t="s">
        <v>2847</v>
      </c>
      <c r="O24" s="2"/>
      <c r="P24" s="2"/>
    </row>
    <row r="25" spans="1:16">
      <c r="A25" s="1106"/>
      <c r="B25" s="696"/>
      <c r="C25" s="696"/>
      <c r="D25" s="1132"/>
      <c r="E25" s="696"/>
      <c r="F25" s="696"/>
      <c r="G25" s="696"/>
      <c r="H25" s="696"/>
      <c r="I25" s="696"/>
      <c r="J25" s="696"/>
      <c r="K25" s="696"/>
      <c r="L25" s="1108"/>
      <c r="M25" s="696"/>
      <c r="N25" s="696"/>
    </row>
    <row r="26" spans="1:16">
      <c r="A26" s="1106"/>
      <c r="B26" s="696"/>
      <c r="C26" s="696"/>
      <c r="D26" s="1132"/>
      <c r="E26" s="696"/>
      <c r="F26" s="696"/>
      <c r="G26" s="696"/>
      <c r="H26" s="696"/>
      <c r="I26" s="696"/>
      <c r="J26" s="696"/>
      <c r="K26" s="696"/>
      <c r="L26" s="1108"/>
      <c r="M26" s="696"/>
      <c r="N26" s="696"/>
    </row>
    <row r="27" spans="1:16">
      <c r="A27" s="1106"/>
      <c r="B27" s="696"/>
      <c r="C27" s="696"/>
      <c r="D27" s="1132"/>
      <c r="E27" s="696"/>
      <c r="F27" s="696"/>
      <c r="G27" s="696"/>
      <c r="H27" s="696"/>
      <c r="I27" s="696"/>
      <c r="J27" s="696"/>
      <c r="K27" s="696"/>
      <c r="L27" s="1108"/>
      <c r="M27" s="696"/>
      <c r="N27" s="696"/>
    </row>
    <row r="28" spans="1:16">
      <c r="A28" s="1133"/>
      <c r="B28" s="703"/>
      <c r="C28" s="703"/>
      <c r="D28" s="703"/>
      <c r="E28" s="703"/>
      <c r="F28" s="703"/>
      <c r="G28" s="703"/>
      <c r="H28" s="703"/>
      <c r="I28" s="703"/>
      <c r="J28" s="703"/>
      <c r="K28" s="703"/>
      <c r="L28" s="1134"/>
      <c r="M28" s="703"/>
      <c r="N28" s="703"/>
      <c r="O28" s="702"/>
      <c r="P28" s="702"/>
    </row>
    <row r="29" spans="1:16">
      <c r="A29" s="947" t="s">
        <v>3071</v>
      </c>
      <c r="B29" s="947"/>
      <c r="C29" s="947"/>
      <c r="D29" s="947"/>
      <c r="E29" s="947"/>
      <c r="F29" s="947"/>
      <c r="G29" s="947"/>
      <c r="H29" s="947"/>
      <c r="I29" s="947"/>
      <c r="J29" s="947"/>
      <c r="K29" s="947"/>
      <c r="L29" s="947"/>
      <c r="M29" s="947"/>
      <c r="N29" s="947"/>
      <c r="O29" s="947"/>
      <c r="P29" s="702"/>
    </row>
    <row r="30" spans="1:16">
      <c r="A30" s="950" t="s">
        <v>3072</v>
      </c>
      <c r="B30" s="950"/>
      <c r="C30" s="950"/>
      <c r="D30" s="950"/>
      <c r="E30" s="950"/>
      <c r="F30" s="950"/>
      <c r="G30" s="950"/>
      <c r="H30" s="950"/>
      <c r="I30" s="950"/>
      <c r="J30" s="950"/>
      <c r="K30" s="950"/>
      <c r="L30" s="950"/>
      <c r="M30" s="950"/>
      <c r="N30" s="950"/>
      <c r="O30" s="950"/>
      <c r="P30" s="702"/>
    </row>
    <row r="31" spans="1:16">
      <c r="A31" s="947" t="s">
        <v>3073</v>
      </c>
      <c r="B31" s="947"/>
      <c r="C31" s="947"/>
      <c r="D31" s="947"/>
      <c r="E31" s="947"/>
      <c r="F31" s="947"/>
      <c r="G31" s="947"/>
      <c r="H31" s="947"/>
      <c r="I31" s="947"/>
      <c r="J31" s="947"/>
      <c r="K31" s="947"/>
      <c r="L31" s="947"/>
      <c r="M31" s="947"/>
      <c r="N31" s="947"/>
      <c r="O31" s="947"/>
      <c r="P31" s="702"/>
    </row>
    <row r="32" spans="1:16" ht="67.5" customHeight="1">
      <c r="A32" s="947" t="s">
        <v>3074</v>
      </c>
      <c r="B32" s="947"/>
      <c r="C32" s="947"/>
      <c r="D32" s="947"/>
      <c r="E32" s="947"/>
      <c r="F32" s="947"/>
      <c r="G32" s="947"/>
      <c r="H32" s="947"/>
      <c r="I32" s="947"/>
      <c r="J32" s="947"/>
      <c r="K32" s="947"/>
      <c r="L32" s="947"/>
      <c r="M32" s="947"/>
      <c r="N32" s="947"/>
      <c r="O32" s="947"/>
      <c r="P32" s="702"/>
    </row>
    <row r="33" spans="1:16">
      <c r="A33" s="947"/>
      <c r="B33" s="947"/>
      <c r="C33" s="947"/>
      <c r="D33" s="947"/>
      <c r="E33" s="947"/>
      <c r="F33" s="947"/>
      <c r="G33" s="947"/>
      <c r="H33" s="947"/>
      <c r="I33" s="947"/>
      <c r="J33" s="947"/>
      <c r="K33" s="947"/>
      <c r="L33" s="947"/>
      <c r="M33" s="947"/>
      <c r="N33" s="947"/>
      <c r="O33" s="947"/>
      <c r="P33" s="702"/>
    </row>
  </sheetData>
  <mergeCells count="23">
    <mergeCell ref="A33:O33"/>
    <mergeCell ref="B15:K15"/>
    <mergeCell ref="O16:T16"/>
    <mergeCell ref="A29:O29"/>
    <mergeCell ref="A30:O30"/>
    <mergeCell ref="A31:O31"/>
    <mergeCell ref="A32:O32"/>
    <mergeCell ref="B10:K10"/>
    <mergeCell ref="A2:N2"/>
    <mergeCell ref="A4:A6"/>
    <mergeCell ref="B4:B6"/>
    <mergeCell ref="C4:C6"/>
    <mergeCell ref="D4:D6"/>
    <mergeCell ref="E4:G4"/>
    <mergeCell ref="H4:H6"/>
    <mergeCell ref="I4:I6"/>
    <mergeCell ref="J4:J6"/>
    <mergeCell ref="K4:K6"/>
    <mergeCell ref="L4:L6"/>
    <mergeCell ref="M4:M6"/>
    <mergeCell ref="N4:N6"/>
    <mergeCell ref="F5:G5"/>
    <mergeCell ref="B7:K7"/>
  </mergeCells>
  <pageMargins left="0" right="0" top="0" bottom="0" header="0.31496062992125984" footer="0.31496062992125984"/>
  <pageSetup paperSize="9" scale="70" fitToHeight="15" orientation="landscape"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91"/>
  <sheetViews>
    <sheetView showGridLines="0" topLeftCell="B1" workbookViewId="0">
      <pane ySplit="5" topLeftCell="A657" activePane="bottomLeft" state="frozen"/>
      <selection pane="bottomLeft" activeCell="H613" sqref="H613"/>
    </sheetView>
  </sheetViews>
  <sheetFormatPr defaultColWidth="9.140625" defaultRowHeight="15" outlineLevelRow="4"/>
  <cols>
    <col min="1" max="1" width="40.42578125" style="445" customWidth="1"/>
    <col min="2" max="2" width="14.7109375" style="445" customWidth="1"/>
    <col min="3" max="3" width="36.140625" style="445" customWidth="1"/>
    <col min="4" max="4" width="6.7109375" style="445" customWidth="1"/>
    <col min="5" max="8" width="17.7109375" style="445" customWidth="1"/>
    <col min="9" max="9" width="20.42578125" style="445" customWidth="1"/>
    <col min="10" max="16384" width="9.140625" style="445"/>
  </cols>
  <sheetData>
    <row r="1" spans="1:10" ht="15.2" customHeight="1">
      <c r="A1" s="951" t="s">
        <v>689</v>
      </c>
      <c r="B1" s="952"/>
      <c r="C1" s="952"/>
      <c r="D1" s="952"/>
      <c r="E1" s="952"/>
      <c r="F1" s="952"/>
      <c r="G1" s="952"/>
      <c r="H1" s="952"/>
      <c r="I1" s="952"/>
    </row>
    <row r="2" spans="1:10" ht="15.2" customHeight="1">
      <c r="A2" s="951" t="s">
        <v>690</v>
      </c>
      <c r="B2" s="952"/>
      <c r="C2" s="952"/>
      <c r="D2" s="952"/>
      <c r="E2" s="952"/>
      <c r="F2" s="952"/>
      <c r="G2" s="952"/>
      <c r="H2" s="952"/>
      <c r="I2" s="952"/>
    </row>
    <row r="3" spans="1:10" ht="15.2" customHeight="1">
      <c r="A3" s="953" t="s">
        <v>691</v>
      </c>
      <c r="B3" s="954"/>
      <c r="C3" s="954"/>
      <c r="D3" s="954"/>
      <c r="E3" s="954"/>
      <c r="F3" s="954"/>
      <c r="G3" s="954"/>
      <c r="H3" s="954"/>
      <c r="I3" s="954"/>
    </row>
    <row r="4" spans="1:10" ht="38.25">
      <c r="A4" s="446" t="s">
        <v>692</v>
      </c>
      <c r="B4" s="447" t="s">
        <v>693</v>
      </c>
      <c r="C4" s="447" t="s">
        <v>694</v>
      </c>
      <c r="D4" s="447" t="s">
        <v>695</v>
      </c>
      <c r="E4" s="447" t="s">
        <v>696</v>
      </c>
      <c r="F4" s="447" t="s">
        <v>697</v>
      </c>
      <c r="G4" s="447" t="s">
        <v>698</v>
      </c>
      <c r="H4" s="447" t="s">
        <v>699</v>
      </c>
      <c r="I4" s="448" t="s">
        <v>700</v>
      </c>
      <c r="J4" s="448" t="s">
        <v>701</v>
      </c>
    </row>
    <row r="5" spans="1:10">
      <c r="A5" s="449" t="s">
        <v>702</v>
      </c>
      <c r="B5" s="450" t="s">
        <v>487</v>
      </c>
      <c r="C5" s="450" t="s">
        <v>703</v>
      </c>
      <c r="D5" s="450" t="s">
        <v>704</v>
      </c>
      <c r="E5" s="450" t="s">
        <v>705</v>
      </c>
      <c r="F5" s="450" t="s">
        <v>706</v>
      </c>
      <c r="G5" s="450" t="s">
        <v>707</v>
      </c>
      <c r="H5" s="450" t="s">
        <v>708</v>
      </c>
      <c r="I5" s="451" t="s">
        <v>709</v>
      </c>
      <c r="J5" s="451" t="s">
        <v>710</v>
      </c>
    </row>
    <row r="6" spans="1:10" ht="30.75" thickBot="1">
      <c r="A6" s="452" t="s">
        <v>711</v>
      </c>
      <c r="B6" s="453" t="s">
        <v>712</v>
      </c>
      <c r="C6" s="454"/>
      <c r="D6" s="453"/>
      <c r="E6" s="455">
        <v>14373789.99578</v>
      </c>
      <c r="F6" s="455">
        <v>14205891.473689999</v>
      </c>
      <c r="G6" s="455">
        <v>6436166.1412699996</v>
      </c>
      <c r="H6" s="455">
        <v>6397186.84882</v>
      </c>
      <c r="I6" s="456">
        <v>44.51</v>
      </c>
      <c r="J6" s="456"/>
    </row>
    <row r="7" spans="1:10" ht="51" hidden="1" outlineLevel="1">
      <c r="A7" s="457" t="s">
        <v>713</v>
      </c>
      <c r="B7" s="458" t="s">
        <v>714</v>
      </c>
      <c r="C7" s="459"/>
      <c r="D7" s="458"/>
      <c r="E7" s="460">
        <v>1562178.42897</v>
      </c>
      <c r="F7" s="460">
        <v>1559717.11897</v>
      </c>
      <c r="G7" s="460">
        <v>932792.83215000003</v>
      </c>
      <c r="H7" s="460">
        <v>905695.71062000003</v>
      </c>
      <c r="I7" s="461">
        <v>57.98</v>
      </c>
      <c r="J7" s="461"/>
    </row>
    <row r="8" spans="1:10" ht="38.25" hidden="1" outlineLevel="2">
      <c r="A8" s="462" t="s">
        <v>715</v>
      </c>
      <c r="B8" s="463" t="s">
        <v>716</v>
      </c>
      <c r="C8" s="464"/>
      <c r="D8" s="463"/>
      <c r="E8" s="465">
        <v>314.7</v>
      </c>
      <c r="F8" s="465">
        <v>184.684</v>
      </c>
      <c r="G8" s="465">
        <v>121.7</v>
      </c>
      <c r="H8" s="465">
        <v>121.7</v>
      </c>
      <c r="I8" s="466">
        <v>38.67</v>
      </c>
      <c r="J8" s="466"/>
    </row>
    <row r="9" spans="1:10" ht="76.5" hidden="1" outlineLevel="3">
      <c r="A9" s="467" t="s">
        <v>717</v>
      </c>
      <c r="B9" s="468" t="s">
        <v>718</v>
      </c>
      <c r="C9" s="469"/>
      <c r="D9" s="468"/>
      <c r="E9" s="470">
        <v>214.7</v>
      </c>
      <c r="F9" s="470">
        <v>84.683999999999997</v>
      </c>
      <c r="G9" s="470">
        <v>21.7</v>
      </c>
      <c r="H9" s="470">
        <v>21.7</v>
      </c>
      <c r="I9" s="471">
        <v>10.11</v>
      </c>
      <c r="J9" s="471"/>
    </row>
    <row r="10" spans="1:10" ht="76.5" hidden="1" outlineLevel="4">
      <c r="A10" s="472" t="s">
        <v>717</v>
      </c>
      <c r="B10" s="473" t="s">
        <v>718</v>
      </c>
      <c r="C10" s="474" t="s">
        <v>719</v>
      </c>
      <c r="D10" s="473" t="s">
        <v>720</v>
      </c>
      <c r="E10" s="475">
        <v>214.7</v>
      </c>
      <c r="F10" s="475">
        <v>84.683999999999997</v>
      </c>
      <c r="G10" s="475">
        <v>21.7</v>
      </c>
      <c r="H10" s="475">
        <v>21.7</v>
      </c>
      <c r="I10" s="471">
        <v>10.11</v>
      </c>
      <c r="J10" s="471"/>
    </row>
    <row r="11" spans="1:10" ht="25.5" hidden="1" outlineLevel="3">
      <c r="A11" s="467" t="s">
        <v>721</v>
      </c>
      <c r="B11" s="468" t="s">
        <v>722</v>
      </c>
      <c r="C11" s="469"/>
      <c r="D11" s="468"/>
      <c r="E11" s="470">
        <v>100</v>
      </c>
      <c r="F11" s="470">
        <v>100</v>
      </c>
      <c r="G11" s="470">
        <v>100</v>
      </c>
      <c r="H11" s="470">
        <v>100</v>
      </c>
      <c r="I11" s="471">
        <v>100</v>
      </c>
      <c r="J11" s="471"/>
    </row>
    <row r="12" spans="1:10" ht="25.5" hidden="1" outlineLevel="4">
      <c r="A12" s="472" t="s">
        <v>721</v>
      </c>
      <c r="B12" s="473" t="s">
        <v>722</v>
      </c>
      <c r="C12" s="474" t="s">
        <v>719</v>
      </c>
      <c r="D12" s="473" t="s">
        <v>720</v>
      </c>
      <c r="E12" s="475">
        <v>100</v>
      </c>
      <c r="F12" s="475">
        <v>100</v>
      </c>
      <c r="G12" s="475">
        <v>100</v>
      </c>
      <c r="H12" s="475">
        <v>100</v>
      </c>
      <c r="I12" s="471">
        <v>100</v>
      </c>
      <c r="J12" s="471"/>
    </row>
    <row r="13" spans="1:10" ht="63.75" hidden="1" outlineLevel="2">
      <c r="A13" s="462" t="s">
        <v>723</v>
      </c>
      <c r="B13" s="463" t="s">
        <v>724</v>
      </c>
      <c r="C13" s="464"/>
      <c r="D13" s="463"/>
      <c r="E13" s="465">
        <v>1166.877</v>
      </c>
      <c r="F13" s="465">
        <v>1126.877</v>
      </c>
      <c r="G13" s="465">
        <v>312.33622000000003</v>
      </c>
      <c r="H13" s="465">
        <v>312.33622000000003</v>
      </c>
      <c r="I13" s="466">
        <v>26.77</v>
      </c>
      <c r="J13" s="466"/>
    </row>
    <row r="14" spans="1:10" ht="76.5" hidden="1" outlineLevel="3">
      <c r="A14" s="467" t="s">
        <v>717</v>
      </c>
      <c r="B14" s="468" t="s">
        <v>725</v>
      </c>
      <c r="C14" s="469"/>
      <c r="D14" s="468"/>
      <c r="E14" s="470">
        <v>387.87700000000001</v>
      </c>
      <c r="F14" s="470">
        <v>347.87700000000001</v>
      </c>
      <c r="G14" s="470">
        <v>212.83622</v>
      </c>
      <c r="H14" s="470">
        <v>212.83622</v>
      </c>
      <c r="I14" s="471">
        <v>54.87</v>
      </c>
      <c r="J14" s="471"/>
    </row>
    <row r="15" spans="1:10" ht="76.5" hidden="1" outlineLevel="4">
      <c r="A15" s="472" t="s">
        <v>717</v>
      </c>
      <c r="B15" s="473" t="s">
        <v>725</v>
      </c>
      <c r="C15" s="474" t="s">
        <v>719</v>
      </c>
      <c r="D15" s="473" t="s">
        <v>720</v>
      </c>
      <c r="E15" s="475">
        <v>198.697</v>
      </c>
      <c r="F15" s="475">
        <v>158.697</v>
      </c>
      <c r="G15" s="475">
        <v>135.17449999999999</v>
      </c>
      <c r="H15" s="475">
        <v>135.17449999999999</v>
      </c>
      <c r="I15" s="471">
        <v>68.03</v>
      </c>
      <c r="J15" s="471"/>
    </row>
    <row r="16" spans="1:10" ht="76.5" hidden="1" outlineLevel="4">
      <c r="A16" s="472" t="s">
        <v>717</v>
      </c>
      <c r="B16" s="473" t="s">
        <v>725</v>
      </c>
      <c r="C16" s="474" t="s">
        <v>726</v>
      </c>
      <c r="D16" s="473" t="s">
        <v>727</v>
      </c>
      <c r="E16" s="475">
        <v>189.18</v>
      </c>
      <c r="F16" s="475">
        <v>189.18</v>
      </c>
      <c r="G16" s="475">
        <v>77.661720000000003</v>
      </c>
      <c r="H16" s="475">
        <v>77.661720000000003</v>
      </c>
      <c r="I16" s="471">
        <v>41.05</v>
      </c>
      <c r="J16" s="471"/>
    </row>
    <row r="17" spans="1:10" ht="25.5" hidden="1" outlineLevel="3">
      <c r="A17" s="467" t="s">
        <v>728</v>
      </c>
      <c r="B17" s="468" t="s">
        <v>729</v>
      </c>
      <c r="C17" s="469"/>
      <c r="D17" s="468"/>
      <c r="E17" s="470">
        <v>779</v>
      </c>
      <c r="F17" s="470">
        <v>779</v>
      </c>
      <c r="G17" s="470">
        <v>99.5</v>
      </c>
      <c r="H17" s="470">
        <v>99.5</v>
      </c>
      <c r="I17" s="471">
        <v>12.77</v>
      </c>
      <c r="J17" s="471"/>
    </row>
    <row r="18" spans="1:10" ht="25.5" hidden="1" outlineLevel="4">
      <c r="A18" s="472" t="s">
        <v>728</v>
      </c>
      <c r="B18" s="473" t="s">
        <v>729</v>
      </c>
      <c r="C18" s="474" t="s">
        <v>730</v>
      </c>
      <c r="D18" s="473" t="s">
        <v>731</v>
      </c>
      <c r="E18" s="475">
        <v>477</v>
      </c>
      <c r="F18" s="475">
        <v>477</v>
      </c>
      <c r="G18" s="475">
        <v>99.5</v>
      </c>
      <c r="H18" s="475">
        <v>99.5</v>
      </c>
      <c r="I18" s="471">
        <v>20.86</v>
      </c>
      <c r="J18" s="471"/>
    </row>
    <row r="19" spans="1:10" ht="25.5" hidden="1" outlineLevel="4">
      <c r="A19" s="472" t="s">
        <v>728</v>
      </c>
      <c r="B19" s="473" t="s">
        <v>729</v>
      </c>
      <c r="C19" s="474" t="s">
        <v>667</v>
      </c>
      <c r="D19" s="473" t="s">
        <v>732</v>
      </c>
      <c r="E19" s="475">
        <v>302</v>
      </c>
      <c r="F19" s="475">
        <v>302</v>
      </c>
      <c r="G19" s="475">
        <v>0</v>
      </c>
      <c r="H19" s="475">
        <v>0</v>
      </c>
      <c r="I19" s="471">
        <v>0</v>
      </c>
      <c r="J19" s="471"/>
    </row>
    <row r="20" spans="1:10" ht="38.25" hidden="1" outlineLevel="2">
      <c r="A20" s="462" t="s">
        <v>733</v>
      </c>
      <c r="B20" s="463" t="s">
        <v>734</v>
      </c>
      <c r="C20" s="464"/>
      <c r="D20" s="463"/>
      <c r="E20" s="465">
        <v>248463.95535</v>
      </c>
      <c r="F20" s="465">
        <v>246172.66135000001</v>
      </c>
      <c r="G20" s="465">
        <v>123599.97877</v>
      </c>
      <c r="H20" s="465">
        <v>123599.97877</v>
      </c>
      <c r="I20" s="466">
        <v>49.75</v>
      </c>
      <c r="J20" s="466"/>
    </row>
    <row r="21" spans="1:10" ht="76.5" hidden="1" outlineLevel="3">
      <c r="A21" s="467" t="s">
        <v>717</v>
      </c>
      <c r="B21" s="468" t="s">
        <v>735</v>
      </c>
      <c r="C21" s="469"/>
      <c r="D21" s="468"/>
      <c r="E21" s="470">
        <v>227914.22735</v>
      </c>
      <c r="F21" s="470">
        <v>225622.93335000001</v>
      </c>
      <c r="G21" s="470">
        <v>114624.43197000001</v>
      </c>
      <c r="H21" s="470">
        <v>114624.43197000001</v>
      </c>
      <c r="I21" s="471">
        <v>50.29</v>
      </c>
      <c r="J21" s="471"/>
    </row>
    <row r="22" spans="1:10" ht="76.5" hidden="1" outlineLevel="4">
      <c r="A22" s="472" t="s">
        <v>717</v>
      </c>
      <c r="B22" s="473" t="s">
        <v>735</v>
      </c>
      <c r="C22" s="474" t="s">
        <v>719</v>
      </c>
      <c r="D22" s="473" t="s">
        <v>720</v>
      </c>
      <c r="E22" s="475">
        <v>227914.22735</v>
      </c>
      <c r="F22" s="475">
        <v>225622.93335000001</v>
      </c>
      <c r="G22" s="475">
        <v>114624.43197000001</v>
      </c>
      <c r="H22" s="475">
        <v>114624.43197000001</v>
      </c>
      <c r="I22" s="471">
        <v>50.29</v>
      </c>
      <c r="J22" s="471"/>
    </row>
    <row r="23" spans="1:10" ht="25.5" hidden="1" outlineLevel="3">
      <c r="A23" s="467" t="s">
        <v>728</v>
      </c>
      <c r="B23" s="468" t="s">
        <v>736</v>
      </c>
      <c r="C23" s="469"/>
      <c r="D23" s="468"/>
      <c r="E23" s="470">
        <v>20549.727999999999</v>
      </c>
      <c r="F23" s="470">
        <v>20549.727999999999</v>
      </c>
      <c r="G23" s="470">
        <v>8975.5468000000001</v>
      </c>
      <c r="H23" s="470">
        <v>8975.5468000000001</v>
      </c>
      <c r="I23" s="471">
        <v>43.68</v>
      </c>
      <c r="J23" s="471"/>
    </row>
    <row r="24" spans="1:10" ht="25.5" hidden="1" outlineLevel="4">
      <c r="A24" s="472" t="s">
        <v>728</v>
      </c>
      <c r="B24" s="473" t="s">
        <v>736</v>
      </c>
      <c r="C24" s="474" t="s">
        <v>719</v>
      </c>
      <c r="D24" s="473" t="s">
        <v>720</v>
      </c>
      <c r="E24" s="475">
        <v>20549.727999999999</v>
      </c>
      <c r="F24" s="475">
        <v>20549.727999999999</v>
      </c>
      <c r="G24" s="475">
        <v>8975.5468000000001</v>
      </c>
      <c r="H24" s="475">
        <v>8975.5468000000001</v>
      </c>
      <c r="I24" s="471">
        <v>43.68</v>
      </c>
      <c r="J24" s="471"/>
    </row>
    <row r="25" spans="1:10" ht="89.25" hidden="1" outlineLevel="2">
      <c r="A25" s="462" t="s">
        <v>737</v>
      </c>
      <c r="B25" s="463" t="s">
        <v>738</v>
      </c>
      <c r="C25" s="464"/>
      <c r="D25" s="463"/>
      <c r="E25" s="465">
        <v>1121618.6498</v>
      </c>
      <c r="F25" s="465">
        <v>1121618.6498</v>
      </c>
      <c r="G25" s="465">
        <v>761970.76263000001</v>
      </c>
      <c r="H25" s="465">
        <v>734873.64110000001</v>
      </c>
      <c r="I25" s="466">
        <v>65.52</v>
      </c>
      <c r="J25" s="466"/>
    </row>
    <row r="26" spans="1:10" ht="25.5" hidden="1" outlineLevel="3">
      <c r="A26" s="467" t="s">
        <v>739</v>
      </c>
      <c r="B26" s="468" t="s">
        <v>740</v>
      </c>
      <c r="C26" s="469"/>
      <c r="D26" s="468"/>
      <c r="E26" s="470">
        <v>938896.34979999997</v>
      </c>
      <c r="F26" s="470">
        <v>938896.34979999997</v>
      </c>
      <c r="G26" s="470">
        <v>627891.38769999996</v>
      </c>
      <c r="H26" s="470">
        <v>604750.49857000005</v>
      </c>
      <c r="I26" s="471">
        <v>64.41</v>
      </c>
      <c r="J26" s="471"/>
    </row>
    <row r="27" spans="1:10" ht="25.5" hidden="1" outlineLevel="4">
      <c r="A27" s="472" t="s">
        <v>739</v>
      </c>
      <c r="B27" s="473" t="s">
        <v>740</v>
      </c>
      <c r="C27" s="474" t="s">
        <v>719</v>
      </c>
      <c r="D27" s="473" t="s">
        <v>720</v>
      </c>
      <c r="E27" s="475">
        <v>938896.34979999997</v>
      </c>
      <c r="F27" s="475">
        <v>938896.34979999997</v>
      </c>
      <c r="G27" s="475">
        <v>627891.38769999996</v>
      </c>
      <c r="H27" s="475">
        <v>604750.49857000005</v>
      </c>
      <c r="I27" s="471">
        <v>64.41</v>
      </c>
      <c r="J27" s="471"/>
    </row>
    <row r="28" spans="1:10" ht="25.5" hidden="1" outlineLevel="3">
      <c r="A28" s="467" t="s">
        <v>741</v>
      </c>
      <c r="B28" s="468" t="s">
        <v>742</v>
      </c>
      <c r="C28" s="469"/>
      <c r="D28" s="468"/>
      <c r="E28" s="470">
        <v>48327.7</v>
      </c>
      <c r="F28" s="470">
        <v>48327.7</v>
      </c>
      <c r="G28" s="470">
        <v>42363.106520000001</v>
      </c>
      <c r="H28" s="470">
        <v>41748.431320000003</v>
      </c>
      <c r="I28" s="471">
        <v>86.39</v>
      </c>
      <c r="J28" s="471"/>
    </row>
    <row r="29" spans="1:10" ht="25.5" hidden="1" outlineLevel="4">
      <c r="A29" s="472" t="s">
        <v>741</v>
      </c>
      <c r="B29" s="473" t="s">
        <v>742</v>
      </c>
      <c r="C29" s="474" t="s">
        <v>719</v>
      </c>
      <c r="D29" s="473" t="s">
        <v>720</v>
      </c>
      <c r="E29" s="475">
        <v>48327.7</v>
      </c>
      <c r="F29" s="475">
        <v>48327.7</v>
      </c>
      <c r="G29" s="475">
        <v>42363.106520000001</v>
      </c>
      <c r="H29" s="475">
        <v>41748.431320000003</v>
      </c>
      <c r="I29" s="471">
        <v>86.39</v>
      </c>
      <c r="J29" s="476" t="s">
        <v>10</v>
      </c>
    </row>
    <row r="30" spans="1:10" ht="114.75" hidden="1" outlineLevel="3">
      <c r="A30" s="467" t="s">
        <v>743</v>
      </c>
      <c r="B30" s="468" t="s">
        <v>744</v>
      </c>
      <c r="C30" s="469"/>
      <c r="D30" s="468"/>
      <c r="E30" s="470">
        <v>4169.7</v>
      </c>
      <c r="F30" s="470">
        <v>4169.7</v>
      </c>
      <c r="G30" s="470">
        <v>2117.5551999999998</v>
      </c>
      <c r="H30" s="470">
        <v>957.99</v>
      </c>
      <c r="I30" s="471">
        <v>22.98</v>
      </c>
      <c r="J30" s="471"/>
    </row>
    <row r="31" spans="1:10" ht="114.75" hidden="1" outlineLevel="4">
      <c r="A31" s="472" t="s">
        <v>743</v>
      </c>
      <c r="B31" s="473" t="s">
        <v>744</v>
      </c>
      <c r="C31" s="474" t="s">
        <v>719</v>
      </c>
      <c r="D31" s="473" t="s">
        <v>720</v>
      </c>
      <c r="E31" s="475">
        <v>4169.7</v>
      </c>
      <c r="F31" s="475">
        <v>4169.7</v>
      </c>
      <c r="G31" s="475">
        <v>2117.5551999999998</v>
      </c>
      <c r="H31" s="475">
        <v>957.99</v>
      </c>
      <c r="I31" s="471">
        <v>22.98</v>
      </c>
      <c r="J31" s="476" t="s">
        <v>10</v>
      </c>
    </row>
    <row r="32" spans="1:10" ht="204" hidden="1" outlineLevel="3">
      <c r="A32" s="467" t="s">
        <v>745</v>
      </c>
      <c r="B32" s="468" t="s">
        <v>746</v>
      </c>
      <c r="C32" s="469"/>
      <c r="D32" s="468"/>
      <c r="E32" s="470">
        <v>3921.2</v>
      </c>
      <c r="F32" s="470">
        <v>3921.2</v>
      </c>
      <c r="G32" s="470">
        <v>1222.192</v>
      </c>
      <c r="H32" s="470">
        <v>1222.192</v>
      </c>
      <c r="I32" s="471">
        <v>31.17</v>
      </c>
      <c r="J32" s="471"/>
    </row>
    <row r="33" spans="1:10" ht="204" hidden="1" outlineLevel="4">
      <c r="A33" s="472" t="s">
        <v>745</v>
      </c>
      <c r="B33" s="473" t="s">
        <v>746</v>
      </c>
      <c r="C33" s="474" t="s">
        <v>719</v>
      </c>
      <c r="D33" s="473" t="s">
        <v>720</v>
      </c>
      <c r="E33" s="475">
        <v>3921.2</v>
      </c>
      <c r="F33" s="475">
        <v>3921.2</v>
      </c>
      <c r="G33" s="475">
        <v>1222.192</v>
      </c>
      <c r="H33" s="475">
        <v>1222.192</v>
      </c>
      <c r="I33" s="471">
        <v>31.17</v>
      </c>
      <c r="J33" s="476" t="s">
        <v>10</v>
      </c>
    </row>
    <row r="34" spans="1:10" ht="114.75" hidden="1" outlineLevel="3">
      <c r="A34" s="467" t="s">
        <v>747</v>
      </c>
      <c r="B34" s="468" t="s">
        <v>748</v>
      </c>
      <c r="C34" s="469"/>
      <c r="D34" s="468"/>
      <c r="E34" s="470">
        <v>126303.7</v>
      </c>
      <c r="F34" s="470">
        <v>126303.7</v>
      </c>
      <c r="G34" s="470">
        <v>88376.521210000006</v>
      </c>
      <c r="H34" s="470">
        <v>86194.529209999993</v>
      </c>
      <c r="I34" s="471">
        <v>68.239999999999995</v>
      </c>
      <c r="J34" s="471"/>
    </row>
    <row r="35" spans="1:10" ht="114.75" hidden="1" outlineLevel="4">
      <c r="A35" s="472" t="s">
        <v>747</v>
      </c>
      <c r="B35" s="473" t="s">
        <v>748</v>
      </c>
      <c r="C35" s="474" t="s">
        <v>719</v>
      </c>
      <c r="D35" s="473" t="s">
        <v>720</v>
      </c>
      <c r="E35" s="475">
        <v>126303.7</v>
      </c>
      <c r="F35" s="475">
        <v>126303.7</v>
      </c>
      <c r="G35" s="475">
        <v>88376.521210000006</v>
      </c>
      <c r="H35" s="475">
        <v>86194.529209999993</v>
      </c>
      <c r="I35" s="471">
        <v>68.239999999999995</v>
      </c>
      <c r="J35" s="476" t="s">
        <v>10</v>
      </c>
    </row>
    <row r="36" spans="1:10" ht="38.25" hidden="1" outlineLevel="2">
      <c r="A36" s="462" t="s">
        <v>749</v>
      </c>
      <c r="B36" s="463" t="s">
        <v>750</v>
      </c>
      <c r="C36" s="464"/>
      <c r="D36" s="463"/>
      <c r="E36" s="465">
        <v>95000</v>
      </c>
      <c r="F36" s="465">
        <v>95000</v>
      </c>
      <c r="G36" s="465">
        <v>18073.845580000001</v>
      </c>
      <c r="H36" s="465">
        <v>18073.845580000001</v>
      </c>
      <c r="I36" s="466">
        <v>19.03</v>
      </c>
      <c r="J36" s="466"/>
    </row>
    <row r="37" spans="1:10" ht="63.75" hidden="1" outlineLevel="3">
      <c r="A37" s="467" t="s">
        <v>751</v>
      </c>
      <c r="B37" s="468" t="s">
        <v>752</v>
      </c>
      <c r="C37" s="469"/>
      <c r="D37" s="468"/>
      <c r="E37" s="470">
        <v>95000</v>
      </c>
      <c r="F37" s="470">
        <v>95000</v>
      </c>
      <c r="G37" s="470">
        <v>18073.845580000001</v>
      </c>
      <c r="H37" s="470">
        <v>18073.845580000001</v>
      </c>
      <c r="I37" s="471">
        <v>19.03</v>
      </c>
      <c r="J37" s="471"/>
    </row>
    <row r="38" spans="1:10" ht="63.75" hidden="1" outlineLevel="4">
      <c r="A38" s="472" t="s">
        <v>751</v>
      </c>
      <c r="B38" s="473" t="s">
        <v>752</v>
      </c>
      <c r="C38" s="474" t="s">
        <v>719</v>
      </c>
      <c r="D38" s="473" t="s">
        <v>720</v>
      </c>
      <c r="E38" s="475">
        <v>95000</v>
      </c>
      <c r="F38" s="475">
        <v>95000</v>
      </c>
      <c r="G38" s="475">
        <v>18073.845580000001</v>
      </c>
      <c r="H38" s="475">
        <v>18073.845580000001</v>
      </c>
      <c r="I38" s="471">
        <v>19.03</v>
      </c>
      <c r="J38" s="476" t="s">
        <v>10</v>
      </c>
    </row>
    <row r="39" spans="1:10" ht="25.5" hidden="1" outlineLevel="2">
      <c r="A39" s="462" t="s">
        <v>753</v>
      </c>
      <c r="B39" s="463" t="s">
        <v>754</v>
      </c>
      <c r="C39" s="464"/>
      <c r="D39" s="463"/>
      <c r="E39" s="465">
        <v>77012.66</v>
      </c>
      <c r="F39" s="465">
        <v>77012.66</v>
      </c>
      <c r="G39" s="465">
        <v>19999.168949999999</v>
      </c>
      <c r="H39" s="465">
        <v>19999.168949999999</v>
      </c>
      <c r="I39" s="466">
        <v>25.97</v>
      </c>
      <c r="J39" s="466"/>
    </row>
    <row r="40" spans="1:10" ht="63.75" hidden="1" outlineLevel="3">
      <c r="A40" s="467" t="s">
        <v>755</v>
      </c>
      <c r="B40" s="468" t="s">
        <v>756</v>
      </c>
      <c r="C40" s="469"/>
      <c r="D40" s="468"/>
      <c r="E40" s="470">
        <v>77012.66</v>
      </c>
      <c r="F40" s="470">
        <v>77012.66</v>
      </c>
      <c r="G40" s="470">
        <v>19999.168949999999</v>
      </c>
      <c r="H40" s="470">
        <v>19999.168949999999</v>
      </c>
      <c r="I40" s="471">
        <v>25.97</v>
      </c>
      <c r="J40" s="471"/>
    </row>
    <row r="41" spans="1:10" ht="63.75" hidden="1" outlineLevel="4">
      <c r="A41" s="472" t="s">
        <v>755</v>
      </c>
      <c r="B41" s="473" t="s">
        <v>756</v>
      </c>
      <c r="C41" s="474" t="s">
        <v>719</v>
      </c>
      <c r="D41" s="473" t="s">
        <v>720</v>
      </c>
      <c r="E41" s="475">
        <v>77012.66</v>
      </c>
      <c r="F41" s="475">
        <v>77012.66</v>
      </c>
      <c r="G41" s="475">
        <v>19999.168949999999</v>
      </c>
      <c r="H41" s="475">
        <v>19999.168949999999</v>
      </c>
      <c r="I41" s="471">
        <v>25.97</v>
      </c>
      <c r="J41" s="476" t="s">
        <v>10</v>
      </c>
    </row>
    <row r="42" spans="1:10" ht="25.5" hidden="1" outlineLevel="2">
      <c r="A42" s="462" t="s">
        <v>757</v>
      </c>
      <c r="B42" s="463" t="s">
        <v>758</v>
      </c>
      <c r="C42" s="464"/>
      <c r="D42" s="463"/>
      <c r="E42" s="465">
        <v>18601.58682</v>
      </c>
      <c r="F42" s="465">
        <v>18601.58682</v>
      </c>
      <c r="G42" s="465">
        <v>8715.0400000000009</v>
      </c>
      <c r="H42" s="465">
        <v>8715.0400000000009</v>
      </c>
      <c r="I42" s="466">
        <v>46.85</v>
      </c>
      <c r="J42" s="466"/>
    </row>
    <row r="43" spans="1:10" ht="38.25" hidden="1" outlineLevel="3">
      <c r="A43" s="467" t="s">
        <v>759</v>
      </c>
      <c r="B43" s="468" t="s">
        <v>760</v>
      </c>
      <c r="C43" s="469"/>
      <c r="D43" s="468"/>
      <c r="E43" s="470">
        <v>18601.58682</v>
      </c>
      <c r="F43" s="470">
        <v>18601.58682</v>
      </c>
      <c r="G43" s="470">
        <v>8715.0400000000009</v>
      </c>
      <c r="H43" s="470">
        <v>8715.0400000000009</v>
      </c>
      <c r="I43" s="471">
        <v>46.85</v>
      </c>
      <c r="J43" s="471"/>
    </row>
    <row r="44" spans="1:10" ht="38.25" hidden="1" outlineLevel="4">
      <c r="A44" s="472" t="s">
        <v>759</v>
      </c>
      <c r="B44" s="473" t="s">
        <v>760</v>
      </c>
      <c r="C44" s="474" t="s">
        <v>719</v>
      </c>
      <c r="D44" s="473" t="s">
        <v>720</v>
      </c>
      <c r="E44" s="475">
        <v>18601.58682</v>
      </c>
      <c r="F44" s="475">
        <v>18601.58682</v>
      </c>
      <c r="G44" s="475">
        <v>8715.0400000000009</v>
      </c>
      <c r="H44" s="475">
        <v>8715.0400000000009</v>
      </c>
      <c r="I44" s="471">
        <v>46.85</v>
      </c>
      <c r="J44" s="471"/>
    </row>
    <row r="45" spans="1:10" ht="102" hidden="1" outlineLevel="1">
      <c r="A45" s="457" t="s">
        <v>761</v>
      </c>
      <c r="B45" s="458" t="s">
        <v>762</v>
      </c>
      <c r="C45" s="459"/>
      <c r="D45" s="458"/>
      <c r="E45" s="460">
        <v>2810551.9245799999</v>
      </c>
      <c r="F45" s="460">
        <v>2791298.21214</v>
      </c>
      <c r="G45" s="460">
        <v>1182440.48275</v>
      </c>
      <c r="H45" s="460">
        <v>1179588.436</v>
      </c>
      <c r="I45" s="461">
        <v>41.97</v>
      </c>
      <c r="J45" s="461"/>
    </row>
    <row r="46" spans="1:10" ht="51" hidden="1" outlineLevel="2">
      <c r="A46" s="462" t="s">
        <v>763</v>
      </c>
      <c r="B46" s="463" t="s">
        <v>764</v>
      </c>
      <c r="C46" s="464"/>
      <c r="D46" s="463"/>
      <c r="E46" s="465">
        <v>1361186.3025</v>
      </c>
      <c r="F46" s="465">
        <v>1342390.4400599999</v>
      </c>
      <c r="G46" s="465">
        <v>632765.92558000004</v>
      </c>
      <c r="H46" s="465">
        <v>630393.02583000006</v>
      </c>
      <c r="I46" s="466">
        <v>46.31</v>
      </c>
      <c r="J46" s="466"/>
    </row>
    <row r="47" spans="1:10" ht="76.5" hidden="1" outlineLevel="3">
      <c r="A47" s="467" t="s">
        <v>717</v>
      </c>
      <c r="B47" s="468" t="s">
        <v>765</v>
      </c>
      <c r="C47" s="469"/>
      <c r="D47" s="468"/>
      <c r="E47" s="470">
        <v>1167416.27241</v>
      </c>
      <c r="F47" s="470">
        <v>1148620.4099699999</v>
      </c>
      <c r="G47" s="470">
        <v>554265.76670000004</v>
      </c>
      <c r="H47" s="470">
        <v>554265.76670000004</v>
      </c>
      <c r="I47" s="471">
        <v>47.48</v>
      </c>
      <c r="J47" s="471"/>
    </row>
    <row r="48" spans="1:10" ht="76.5" hidden="1" outlineLevel="4">
      <c r="A48" s="472" t="s">
        <v>717</v>
      </c>
      <c r="B48" s="473" t="s">
        <v>765</v>
      </c>
      <c r="C48" s="474" t="s">
        <v>719</v>
      </c>
      <c r="D48" s="473" t="s">
        <v>720</v>
      </c>
      <c r="E48" s="475">
        <v>1167416.27241</v>
      </c>
      <c r="F48" s="475">
        <v>1148620.4099699999</v>
      </c>
      <c r="G48" s="475">
        <v>554265.76670000004</v>
      </c>
      <c r="H48" s="475">
        <v>554265.76670000004</v>
      </c>
      <c r="I48" s="471">
        <v>47.48</v>
      </c>
      <c r="J48" s="471"/>
    </row>
    <row r="49" spans="1:10" ht="25.5" hidden="1" outlineLevel="3">
      <c r="A49" s="467" t="s">
        <v>739</v>
      </c>
      <c r="B49" s="468" t="s">
        <v>766</v>
      </c>
      <c r="C49" s="469"/>
      <c r="D49" s="468"/>
      <c r="E49" s="470">
        <v>80421.620999999999</v>
      </c>
      <c r="F49" s="470">
        <v>80421.620999999999</v>
      </c>
      <c r="G49" s="470">
        <v>31737.776600000001</v>
      </c>
      <c r="H49" s="470">
        <v>31737.776600000001</v>
      </c>
      <c r="I49" s="471">
        <v>39.46</v>
      </c>
      <c r="J49" s="471"/>
    </row>
    <row r="50" spans="1:10" ht="25.5" hidden="1" outlineLevel="4">
      <c r="A50" s="472" t="s">
        <v>739</v>
      </c>
      <c r="B50" s="473" t="s">
        <v>766</v>
      </c>
      <c r="C50" s="474" t="s">
        <v>719</v>
      </c>
      <c r="D50" s="473" t="s">
        <v>720</v>
      </c>
      <c r="E50" s="475">
        <v>80421.620999999999</v>
      </c>
      <c r="F50" s="475">
        <v>80421.620999999999</v>
      </c>
      <c r="G50" s="475">
        <v>31737.776600000001</v>
      </c>
      <c r="H50" s="475">
        <v>31737.776600000001</v>
      </c>
      <c r="I50" s="471">
        <v>39.46</v>
      </c>
      <c r="J50" s="471"/>
    </row>
    <row r="51" spans="1:10" ht="25.5" hidden="1" outlineLevel="3">
      <c r="A51" s="467" t="s">
        <v>728</v>
      </c>
      <c r="B51" s="468" t="s">
        <v>767</v>
      </c>
      <c r="C51" s="469"/>
      <c r="D51" s="468"/>
      <c r="E51" s="470">
        <v>59778.644809999998</v>
      </c>
      <c r="F51" s="470">
        <v>59778.644809999998</v>
      </c>
      <c r="G51" s="470">
        <v>26566.46588</v>
      </c>
      <c r="H51" s="470">
        <v>25682.093680000002</v>
      </c>
      <c r="I51" s="471">
        <v>42.96</v>
      </c>
      <c r="J51" s="471"/>
    </row>
    <row r="52" spans="1:10" ht="25.5" hidden="1" outlineLevel="4">
      <c r="A52" s="472" t="s">
        <v>728</v>
      </c>
      <c r="B52" s="473" t="s">
        <v>767</v>
      </c>
      <c r="C52" s="474" t="s">
        <v>719</v>
      </c>
      <c r="D52" s="473" t="s">
        <v>720</v>
      </c>
      <c r="E52" s="475">
        <v>59778.644809999998</v>
      </c>
      <c r="F52" s="475">
        <v>59778.644809999998</v>
      </c>
      <c r="G52" s="475">
        <v>26566.46588</v>
      </c>
      <c r="H52" s="475">
        <v>25682.093680000002</v>
      </c>
      <c r="I52" s="471">
        <v>42.96</v>
      </c>
      <c r="J52" s="471"/>
    </row>
    <row r="53" spans="1:10" ht="25.5" hidden="1" outlineLevel="3">
      <c r="A53" s="467" t="s">
        <v>768</v>
      </c>
      <c r="B53" s="468" t="s">
        <v>769</v>
      </c>
      <c r="C53" s="469"/>
      <c r="D53" s="468"/>
      <c r="E53" s="470">
        <v>25840.380280000001</v>
      </c>
      <c r="F53" s="470">
        <v>25840.380280000001</v>
      </c>
      <c r="G53" s="470">
        <v>6030.3986000000004</v>
      </c>
      <c r="H53" s="470">
        <v>6030.3986000000004</v>
      </c>
      <c r="I53" s="471">
        <v>23.34</v>
      </c>
      <c r="J53" s="471"/>
    </row>
    <row r="54" spans="1:10" ht="25.5" hidden="1" outlineLevel="4">
      <c r="A54" s="472" t="s">
        <v>768</v>
      </c>
      <c r="B54" s="473" t="s">
        <v>769</v>
      </c>
      <c r="C54" s="474" t="s">
        <v>719</v>
      </c>
      <c r="D54" s="473" t="s">
        <v>720</v>
      </c>
      <c r="E54" s="475">
        <v>25840.380280000001</v>
      </c>
      <c r="F54" s="475">
        <v>25840.380280000001</v>
      </c>
      <c r="G54" s="475">
        <v>6030.3986000000004</v>
      </c>
      <c r="H54" s="475">
        <v>6030.3986000000004</v>
      </c>
      <c r="I54" s="471">
        <v>23.34</v>
      </c>
      <c r="J54" s="471"/>
    </row>
    <row r="55" spans="1:10" ht="38.25" hidden="1" outlineLevel="3">
      <c r="A55" s="467" t="s">
        <v>770</v>
      </c>
      <c r="B55" s="468" t="s">
        <v>771</v>
      </c>
      <c r="C55" s="469"/>
      <c r="D55" s="468"/>
      <c r="E55" s="470">
        <v>27729.383999999998</v>
      </c>
      <c r="F55" s="470">
        <v>27729.383999999998</v>
      </c>
      <c r="G55" s="470">
        <v>14165.5178</v>
      </c>
      <c r="H55" s="470">
        <v>12676.990250000001</v>
      </c>
      <c r="I55" s="471">
        <v>45.72</v>
      </c>
      <c r="J55" s="471"/>
    </row>
    <row r="56" spans="1:10" ht="38.25" hidden="1" outlineLevel="4">
      <c r="A56" s="472" t="s">
        <v>770</v>
      </c>
      <c r="B56" s="473" t="s">
        <v>771</v>
      </c>
      <c r="C56" s="474" t="s">
        <v>719</v>
      </c>
      <c r="D56" s="473" t="s">
        <v>720</v>
      </c>
      <c r="E56" s="475">
        <v>27729.383999999998</v>
      </c>
      <c r="F56" s="475">
        <v>27729.383999999998</v>
      </c>
      <c r="G56" s="475">
        <v>14165.5178</v>
      </c>
      <c r="H56" s="475">
        <v>12676.990250000001</v>
      </c>
      <c r="I56" s="471">
        <v>45.72</v>
      </c>
      <c r="J56" s="471"/>
    </row>
    <row r="57" spans="1:10" ht="63.75" hidden="1" outlineLevel="2">
      <c r="A57" s="462" t="s">
        <v>772</v>
      </c>
      <c r="B57" s="463" t="s">
        <v>773</v>
      </c>
      <c r="C57" s="464"/>
      <c r="D57" s="463"/>
      <c r="E57" s="465">
        <v>500202.58815000003</v>
      </c>
      <c r="F57" s="465">
        <v>499744.73814999999</v>
      </c>
      <c r="G57" s="465">
        <v>171452.0925</v>
      </c>
      <c r="H57" s="465">
        <v>171452.0925</v>
      </c>
      <c r="I57" s="466">
        <v>34.28</v>
      </c>
      <c r="J57" s="466"/>
    </row>
    <row r="58" spans="1:10" ht="76.5" hidden="1" outlineLevel="3">
      <c r="A58" s="467" t="s">
        <v>717</v>
      </c>
      <c r="B58" s="468" t="s">
        <v>774</v>
      </c>
      <c r="C58" s="469"/>
      <c r="D58" s="468"/>
      <c r="E58" s="470">
        <v>42584.319000000003</v>
      </c>
      <c r="F58" s="470">
        <v>42126.468999999997</v>
      </c>
      <c r="G58" s="470">
        <v>5819.9805500000002</v>
      </c>
      <c r="H58" s="470">
        <v>5819.9805500000002</v>
      </c>
      <c r="I58" s="471">
        <v>13.67</v>
      </c>
      <c r="J58" s="471"/>
    </row>
    <row r="59" spans="1:10" ht="76.5" hidden="1" outlineLevel="4">
      <c r="A59" s="472" t="s">
        <v>717</v>
      </c>
      <c r="B59" s="473" t="s">
        <v>774</v>
      </c>
      <c r="C59" s="474" t="s">
        <v>719</v>
      </c>
      <c r="D59" s="473" t="s">
        <v>720</v>
      </c>
      <c r="E59" s="475">
        <v>42584.319000000003</v>
      </c>
      <c r="F59" s="475">
        <v>42126.468999999997</v>
      </c>
      <c r="G59" s="475">
        <v>5819.9805500000002</v>
      </c>
      <c r="H59" s="475">
        <v>5819.9805500000002</v>
      </c>
      <c r="I59" s="471">
        <v>13.67</v>
      </c>
      <c r="J59" s="471"/>
    </row>
    <row r="60" spans="1:10" ht="63.75" hidden="1" outlineLevel="3">
      <c r="A60" s="467" t="s">
        <v>775</v>
      </c>
      <c r="B60" s="468" t="s">
        <v>776</v>
      </c>
      <c r="C60" s="469"/>
      <c r="D60" s="468"/>
      <c r="E60" s="470">
        <v>457618.26915000001</v>
      </c>
      <c r="F60" s="470">
        <v>457618.26915000001</v>
      </c>
      <c r="G60" s="470">
        <v>165632.11194999999</v>
      </c>
      <c r="H60" s="470">
        <v>165632.11194999999</v>
      </c>
      <c r="I60" s="471">
        <v>36.19</v>
      </c>
      <c r="J60" s="471"/>
    </row>
    <row r="61" spans="1:10" ht="63.75" hidden="1" outlineLevel="4">
      <c r="A61" s="472" t="s">
        <v>775</v>
      </c>
      <c r="B61" s="473" t="s">
        <v>776</v>
      </c>
      <c r="C61" s="474" t="s">
        <v>719</v>
      </c>
      <c r="D61" s="473" t="s">
        <v>720</v>
      </c>
      <c r="E61" s="475">
        <v>457618.26915000001</v>
      </c>
      <c r="F61" s="475">
        <v>457618.26915000001</v>
      </c>
      <c r="G61" s="475">
        <v>165632.11194999999</v>
      </c>
      <c r="H61" s="475">
        <v>165632.11194999999</v>
      </c>
      <c r="I61" s="471">
        <v>36.19</v>
      </c>
      <c r="J61" s="471"/>
    </row>
    <row r="62" spans="1:10" ht="51" hidden="1" outlineLevel="2">
      <c r="A62" s="462" t="s">
        <v>777</v>
      </c>
      <c r="B62" s="463" t="s">
        <v>778</v>
      </c>
      <c r="C62" s="464"/>
      <c r="D62" s="463"/>
      <c r="E62" s="465">
        <v>273398.94692999998</v>
      </c>
      <c r="F62" s="465">
        <v>273398.94692999998</v>
      </c>
      <c r="G62" s="465">
        <v>135328.58885999999</v>
      </c>
      <c r="H62" s="465">
        <v>135328.58885999999</v>
      </c>
      <c r="I62" s="466">
        <v>49.5</v>
      </c>
      <c r="J62" s="466"/>
    </row>
    <row r="63" spans="1:10" ht="76.5" hidden="1" outlineLevel="3">
      <c r="A63" s="467" t="s">
        <v>717</v>
      </c>
      <c r="B63" s="468" t="s">
        <v>779</v>
      </c>
      <c r="C63" s="469"/>
      <c r="D63" s="468"/>
      <c r="E63" s="470">
        <v>273398.94692999998</v>
      </c>
      <c r="F63" s="470">
        <v>273398.94692999998</v>
      </c>
      <c r="G63" s="470">
        <v>135328.58885999999</v>
      </c>
      <c r="H63" s="470">
        <v>135328.58885999999</v>
      </c>
      <c r="I63" s="471">
        <v>49.5</v>
      </c>
      <c r="J63" s="471"/>
    </row>
    <row r="64" spans="1:10" ht="76.5" hidden="1" outlineLevel="4">
      <c r="A64" s="472" t="s">
        <v>717</v>
      </c>
      <c r="B64" s="473" t="s">
        <v>779</v>
      </c>
      <c r="C64" s="474" t="s">
        <v>719</v>
      </c>
      <c r="D64" s="473" t="s">
        <v>720</v>
      </c>
      <c r="E64" s="475">
        <v>273398.94692999998</v>
      </c>
      <c r="F64" s="475">
        <v>273398.94692999998</v>
      </c>
      <c r="G64" s="475">
        <v>135328.58885999999</v>
      </c>
      <c r="H64" s="475">
        <v>135328.58885999999</v>
      </c>
      <c r="I64" s="471">
        <v>49.5</v>
      </c>
      <c r="J64" s="471"/>
    </row>
    <row r="65" spans="1:10" ht="25.5" hidden="1" outlineLevel="2">
      <c r="A65" s="462" t="s">
        <v>780</v>
      </c>
      <c r="B65" s="463" t="s">
        <v>781</v>
      </c>
      <c r="C65" s="464"/>
      <c r="D65" s="463"/>
      <c r="E65" s="465">
        <v>15100.248229999999</v>
      </c>
      <c r="F65" s="465">
        <v>15100.248229999999</v>
      </c>
      <c r="G65" s="465">
        <v>6099.9830000000002</v>
      </c>
      <c r="H65" s="465">
        <v>5620.8360000000002</v>
      </c>
      <c r="I65" s="466">
        <v>37.22</v>
      </c>
      <c r="J65" s="466"/>
    </row>
    <row r="66" spans="1:10" ht="76.5" hidden="1" outlineLevel="3">
      <c r="A66" s="467" t="s">
        <v>717</v>
      </c>
      <c r="B66" s="468" t="s">
        <v>782</v>
      </c>
      <c r="C66" s="469"/>
      <c r="D66" s="468"/>
      <c r="E66" s="470">
        <v>15100.248229999999</v>
      </c>
      <c r="F66" s="470">
        <v>15100.248229999999</v>
      </c>
      <c r="G66" s="470">
        <v>6099.9830000000002</v>
      </c>
      <c r="H66" s="470">
        <v>5620.8360000000002</v>
      </c>
      <c r="I66" s="471">
        <v>37.22</v>
      </c>
      <c r="J66" s="471"/>
    </row>
    <row r="67" spans="1:10" ht="76.5" hidden="1" outlineLevel="4">
      <c r="A67" s="472" t="s">
        <v>717</v>
      </c>
      <c r="B67" s="473" t="s">
        <v>782</v>
      </c>
      <c r="C67" s="474" t="s">
        <v>719</v>
      </c>
      <c r="D67" s="473" t="s">
        <v>720</v>
      </c>
      <c r="E67" s="475">
        <v>15100.248229999999</v>
      </c>
      <c r="F67" s="475">
        <v>15100.248229999999</v>
      </c>
      <c r="G67" s="475">
        <v>6099.9830000000002</v>
      </c>
      <c r="H67" s="475">
        <v>5620.8360000000002</v>
      </c>
      <c r="I67" s="471">
        <v>37.22</v>
      </c>
      <c r="J67" s="471"/>
    </row>
    <row r="68" spans="1:10" ht="38.25" hidden="1" outlineLevel="2">
      <c r="A68" s="462" t="s">
        <v>783</v>
      </c>
      <c r="B68" s="463" t="s">
        <v>784</v>
      </c>
      <c r="C68" s="464"/>
      <c r="D68" s="463"/>
      <c r="E68" s="465">
        <v>217423.60527</v>
      </c>
      <c r="F68" s="465">
        <v>217423.60527</v>
      </c>
      <c r="G68" s="465">
        <v>95473.520629999999</v>
      </c>
      <c r="H68" s="465">
        <v>95473.520629999999</v>
      </c>
      <c r="I68" s="466">
        <v>43.91</v>
      </c>
      <c r="J68" s="466"/>
    </row>
    <row r="69" spans="1:10" ht="76.5" hidden="1" outlineLevel="3">
      <c r="A69" s="467" t="s">
        <v>717</v>
      </c>
      <c r="B69" s="468" t="s">
        <v>785</v>
      </c>
      <c r="C69" s="469"/>
      <c r="D69" s="468"/>
      <c r="E69" s="470">
        <v>217423.60527</v>
      </c>
      <c r="F69" s="470">
        <v>217423.60527</v>
      </c>
      <c r="G69" s="470">
        <v>95473.520629999999</v>
      </c>
      <c r="H69" s="470">
        <v>95473.520629999999</v>
      </c>
      <c r="I69" s="471">
        <v>43.91</v>
      </c>
      <c r="J69" s="471"/>
    </row>
    <row r="70" spans="1:10" ht="76.5" hidden="1" outlineLevel="4">
      <c r="A70" s="472" t="s">
        <v>717</v>
      </c>
      <c r="B70" s="473" t="s">
        <v>785</v>
      </c>
      <c r="C70" s="474" t="s">
        <v>719</v>
      </c>
      <c r="D70" s="473" t="s">
        <v>720</v>
      </c>
      <c r="E70" s="475">
        <v>217423.60527</v>
      </c>
      <c r="F70" s="475">
        <v>217423.60527</v>
      </c>
      <c r="G70" s="475">
        <v>95473.520629999999</v>
      </c>
      <c r="H70" s="475">
        <v>95473.520629999999</v>
      </c>
      <c r="I70" s="471">
        <v>43.91</v>
      </c>
      <c r="J70" s="471"/>
    </row>
    <row r="71" spans="1:10" ht="38.25" hidden="1" outlineLevel="2">
      <c r="A71" s="462" t="s">
        <v>786</v>
      </c>
      <c r="B71" s="463" t="s">
        <v>787</v>
      </c>
      <c r="C71" s="464"/>
      <c r="D71" s="463"/>
      <c r="E71" s="465">
        <v>138106.4155</v>
      </c>
      <c r="F71" s="465">
        <v>138106.4155</v>
      </c>
      <c r="G71" s="465">
        <v>75721.374410000004</v>
      </c>
      <c r="H71" s="465">
        <v>75721.374410000004</v>
      </c>
      <c r="I71" s="466">
        <v>54.83</v>
      </c>
      <c r="J71" s="466"/>
    </row>
    <row r="72" spans="1:10" ht="76.5" hidden="1" outlineLevel="3">
      <c r="A72" s="467" t="s">
        <v>717</v>
      </c>
      <c r="B72" s="468" t="s">
        <v>788</v>
      </c>
      <c r="C72" s="469"/>
      <c r="D72" s="468"/>
      <c r="E72" s="470">
        <v>138106.4155</v>
      </c>
      <c r="F72" s="470">
        <v>138106.4155</v>
      </c>
      <c r="G72" s="470">
        <v>75721.374410000004</v>
      </c>
      <c r="H72" s="470">
        <v>75721.374410000004</v>
      </c>
      <c r="I72" s="471">
        <v>54.83</v>
      </c>
      <c r="J72" s="471"/>
    </row>
    <row r="73" spans="1:10" ht="76.5" hidden="1" outlineLevel="4">
      <c r="A73" s="472" t="s">
        <v>717</v>
      </c>
      <c r="B73" s="473" t="s">
        <v>788</v>
      </c>
      <c r="C73" s="474" t="s">
        <v>719</v>
      </c>
      <c r="D73" s="473" t="s">
        <v>720</v>
      </c>
      <c r="E73" s="475">
        <v>138106.4155</v>
      </c>
      <c r="F73" s="475">
        <v>138106.4155</v>
      </c>
      <c r="G73" s="475">
        <v>75721.374410000004</v>
      </c>
      <c r="H73" s="475">
        <v>75721.374410000004</v>
      </c>
      <c r="I73" s="471">
        <v>54.83</v>
      </c>
      <c r="J73" s="471"/>
    </row>
    <row r="74" spans="1:10" ht="114.75" hidden="1" outlineLevel="2">
      <c r="A74" s="462" t="s">
        <v>789</v>
      </c>
      <c r="B74" s="463" t="s">
        <v>790</v>
      </c>
      <c r="C74" s="464"/>
      <c r="D74" s="463"/>
      <c r="E74" s="465">
        <v>19754.418000000001</v>
      </c>
      <c r="F74" s="465">
        <v>19754.418000000001</v>
      </c>
      <c r="G74" s="465">
        <v>5160.3692600000004</v>
      </c>
      <c r="H74" s="465">
        <v>5160.3692600000004</v>
      </c>
      <c r="I74" s="466">
        <v>26.12</v>
      </c>
      <c r="J74" s="466"/>
    </row>
    <row r="75" spans="1:10" ht="76.5" hidden="1" outlineLevel="3">
      <c r="A75" s="467" t="s">
        <v>717</v>
      </c>
      <c r="B75" s="468" t="s">
        <v>791</v>
      </c>
      <c r="C75" s="469"/>
      <c r="D75" s="468"/>
      <c r="E75" s="470">
        <v>19754.418000000001</v>
      </c>
      <c r="F75" s="470">
        <v>19754.418000000001</v>
      </c>
      <c r="G75" s="470">
        <v>5160.3692600000004</v>
      </c>
      <c r="H75" s="470">
        <v>5160.3692600000004</v>
      </c>
      <c r="I75" s="471">
        <v>26.12</v>
      </c>
      <c r="J75" s="471"/>
    </row>
    <row r="76" spans="1:10" ht="76.5" hidden="1" outlineLevel="4">
      <c r="A76" s="472" t="s">
        <v>717</v>
      </c>
      <c r="B76" s="473" t="s">
        <v>791</v>
      </c>
      <c r="C76" s="474" t="s">
        <v>719</v>
      </c>
      <c r="D76" s="473" t="s">
        <v>720</v>
      </c>
      <c r="E76" s="475">
        <v>19754.418000000001</v>
      </c>
      <c r="F76" s="475">
        <v>19754.418000000001</v>
      </c>
      <c r="G76" s="475">
        <v>5160.3692600000004</v>
      </c>
      <c r="H76" s="475">
        <v>5160.3692600000004</v>
      </c>
      <c r="I76" s="471">
        <v>26.12</v>
      </c>
      <c r="J76" s="471"/>
    </row>
    <row r="77" spans="1:10" ht="25.5" hidden="1" outlineLevel="2">
      <c r="A77" s="462" t="s">
        <v>753</v>
      </c>
      <c r="B77" s="463" t="s">
        <v>792</v>
      </c>
      <c r="C77" s="464"/>
      <c r="D77" s="463"/>
      <c r="E77" s="465">
        <v>60897</v>
      </c>
      <c r="F77" s="465">
        <v>60897</v>
      </c>
      <c r="G77" s="465">
        <v>55463.630499999999</v>
      </c>
      <c r="H77" s="465">
        <v>55463.630499999999</v>
      </c>
      <c r="I77" s="466">
        <v>91.08</v>
      </c>
      <c r="J77" s="466"/>
    </row>
    <row r="78" spans="1:10" ht="38.25" hidden="1" outlineLevel="3">
      <c r="A78" s="467" t="s">
        <v>793</v>
      </c>
      <c r="B78" s="468" t="s">
        <v>794</v>
      </c>
      <c r="C78" s="469"/>
      <c r="D78" s="468"/>
      <c r="E78" s="470">
        <v>60897</v>
      </c>
      <c r="F78" s="470">
        <v>60897</v>
      </c>
      <c r="G78" s="470">
        <v>55463.630499999999</v>
      </c>
      <c r="H78" s="470">
        <v>55463.630499999999</v>
      </c>
      <c r="I78" s="471">
        <v>91.08</v>
      </c>
      <c r="J78" s="471"/>
    </row>
    <row r="79" spans="1:10" ht="38.25" hidden="1" outlineLevel="4">
      <c r="A79" s="472" t="s">
        <v>793</v>
      </c>
      <c r="B79" s="473" t="s">
        <v>794</v>
      </c>
      <c r="C79" s="474" t="s">
        <v>719</v>
      </c>
      <c r="D79" s="473" t="s">
        <v>720</v>
      </c>
      <c r="E79" s="475">
        <v>60897</v>
      </c>
      <c r="F79" s="475">
        <v>60897</v>
      </c>
      <c r="G79" s="475">
        <v>55463.630499999999</v>
      </c>
      <c r="H79" s="475">
        <v>55463.630499999999</v>
      </c>
      <c r="I79" s="471">
        <v>91.08</v>
      </c>
      <c r="J79" s="476" t="s">
        <v>10</v>
      </c>
    </row>
    <row r="80" spans="1:10" ht="25.5" hidden="1" outlineLevel="2">
      <c r="A80" s="462" t="s">
        <v>795</v>
      </c>
      <c r="B80" s="463" t="s">
        <v>796</v>
      </c>
      <c r="C80" s="464"/>
      <c r="D80" s="463"/>
      <c r="E80" s="465">
        <v>224482.4</v>
      </c>
      <c r="F80" s="465">
        <v>224482.4</v>
      </c>
      <c r="G80" s="465">
        <v>4974.9980100000002</v>
      </c>
      <c r="H80" s="465">
        <v>4974.9980100000002</v>
      </c>
      <c r="I80" s="466">
        <v>2.2200000000000002</v>
      </c>
      <c r="J80" s="466"/>
    </row>
    <row r="81" spans="1:10" ht="114.75" hidden="1" outlineLevel="3">
      <c r="A81" s="467" t="s">
        <v>797</v>
      </c>
      <c r="B81" s="468" t="s">
        <v>798</v>
      </c>
      <c r="C81" s="469"/>
      <c r="D81" s="468"/>
      <c r="E81" s="470">
        <v>224482.4</v>
      </c>
      <c r="F81" s="470">
        <v>224482.4</v>
      </c>
      <c r="G81" s="470">
        <v>4974.9980100000002</v>
      </c>
      <c r="H81" s="470">
        <v>4974.9980100000002</v>
      </c>
      <c r="I81" s="471">
        <v>2.2200000000000002</v>
      </c>
      <c r="J81" s="471"/>
    </row>
    <row r="82" spans="1:10" ht="114.75" hidden="1" outlineLevel="4">
      <c r="A82" s="472" t="s">
        <v>797</v>
      </c>
      <c r="B82" s="473" t="s">
        <v>798</v>
      </c>
      <c r="C82" s="474" t="s">
        <v>719</v>
      </c>
      <c r="D82" s="473" t="s">
        <v>720</v>
      </c>
      <c r="E82" s="475">
        <v>224482.4</v>
      </c>
      <c r="F82" s="475">
        <v>224482.4</v>
      </c>
      <c r="G82" s="475">
        <v>4974.9980100000002</v>
      </c>
      <c r="H82" s="475">
        <v>4974.9980100000002</v>
      </c>
      <c r="I82" s="471">
        <v>2.2200000000000002</v>
      </c>
      <c r="J82" s="476" t="s">
        <v>10</v>
      </c>
    </row>
    <row r="83" spans="1:10" ht="25.5" hidden="1" outlineLevel="1">
      <c r="A83" s="457" t="s">
        <v>799</v>
      </c>
      <c r="B83" s="458" t="s">
        <v>800</v>
      </c>
      <c r="C83" s="459"/>
      <c r="D83" s="458"/>
      <c r="E83" s="460">
        <v>393298.60038000002</v>
      </c>
      <c r="F83" s="460">
        <v>393298.60038000002</v>
      </c>
      <c r="G83" s="460">
        <v>204773.09239000001</v>
      </c>
      <c r="H83" s="460">
        <v>204477.09239000001</v>
      </c>
      <c r="I83" s="461">
        <v>51.99</v>
      </c>
      <c r="J83" s="461"/>
    </row>
    <row r="84" spans="1:10" ht="38.25" hidden="1" outlineLevel="2">
      <c r="A84" s="462" t="s">
        <v>801</v>
      </c>
      <c r="B84" s="463" t="s">
        <v>802</v>
      </c>
      <c r="C84" s="464"/>
      <c r="D84" s="463"/>
      <c r="E84" s="465">
        <v>7456.51</v>
      </c>
      <c r="F84" s="465">
        <v>7456.51</v>
      </c>
      <c r="G84" s="465">
        <v>3554.1498799999999</v>
      </c>
      <c r="H84" s="465">
        <v>3554.1498799999999</v>
      </c>
      <c r="I84" s="466">
        <v>47.67</v>
      </c>
      <c r="J84" s="466"/>
    </row>
    <row r="85" spans="1:10" ht="76.5" hidden="1" outlineLevel="3">
      <c r="A85" s="467" t="s">
        <v>717</v>
      </c>
      <c r="B85" s="468" t="s">
        <v>803</v>
      </c>
      <c r="C85" s="469"/>
      <c r="D85" s="468"/>
      <c r="E85" s="470">
        <v>7456.51</v>
      </c>
      <c r="F85" s="470">
        <v>7456.51</v>
      </c>
      <c r="G85" s="470">
        <v>3554.1498799999999</v>
      </c>
      <c r="H85" s="470">
        <v>3554.1498799999999</v>
      </c>
      <c r="I85" s="471">
        <v>47.67</v>
      </c>
      <c r="J85" s="471"/>
    </row>
    <row r="86" spans="1:10" ht="76.5" hidden="1" outlineLevel="4">
      <c r="A86" s="472" t="s">
        <v>717</v>
      </c>
      <c r="B86" s="473" t="s">
        <v>803</v>
      </c>
      <c r="C86" s="474" t="s">
        <v>719</v>
      </c>
      <c r="D86" s="473" t="s">
        <v>720</v>
      </c>
      <c r="E86" s="475">
        <v>7456.51</v>
      </c>
      <c r="F86" s="475">
        <v>7456.51</v>
      </c>
      <c r="G86" s="475">
        <v>3554.1498799999999</v>
      </c>
      <c r="H86" s="475">
        <v>3554.1498799999999</v>
      </c>
      <c r="I86" s="471">
        <v>47.67</v>
      </c>
      <c r="J86" s="471"/>
    </row>
    <row r="87" spans="1:10" ht="63.75" hidden="1" outlineLevel="2">
      <c r="A87" s="462" t="s">
        <v>804</v>
      </c>
      <c r="B87" s="463" t="s">
        <v>805</v>
      </c>
      <c r="C87" s="464"/>
      <c r="D87" s="463"/>
      <c r="E87" s="465">
        <v>319801.16788000002</v>
      </c>
      <c r="F87" s="465">
        <v>319801.16788000002</v>
      </c>
      <c r="G87" s="465">
        <v>167045.24573</v>
      </c>
      <c r="H87" s="465">
        <v>167045.24573</v>
      </c>
      <c r="I87" s="466">
        <v>52.23</v>
      </c>
      <c r="J87" s="466"/>
    </row>
    <row r="88" spans="1:10" ht="76.5" hidden="1" outlineLevel="3">
      <c r="A88" s="467" t="s">
        <v>717</v>
      </c>
      <c r="B88" s="468" t="s">
        <v>806</v>
      </c>
      <c r="C88" s="469"/>
      <c r="D88" s="468"/>
      <c r="E88" s="470">
        <v>307635.86787999998</v>
      </c>
      <c r="F88" s="470">
        <v>307635.86787999998</v>
      </c>
      <c r="G88" s="470">
        <v>157315.666</v>
      </c>
      <c r="H88" s="470">
        <v>157315.666</v>
      </c>
      <c r="I88" s="471">
        <v>51.14</v>
      </c>
      <c r="J88" s="471"/>
    </row>
    <row r="89" spans="1:10" ht="76.5" hidden="1" outlineLevel="4">
      <c r="A89" s="472" t="s">
        <v>717</v>
      </c>
      <c r="B89" s="473" t="s">
        <v>806</v>
      </c>
      <c r="C89" s="474" t="s">
        <v>719</v>
      </c>
      <c r="D89" s="473" t="s">
        <v>720</v>
      </c>
      <c r="E89" s="475">
        <v>307635.86787999998</v>
      </c>
      <c r="F89" s="475">
        <v>307635.86787999998</v>
      </c>
      <c r="G89" s="475">
        <v>157315.666</v>
      </c>
      <c r="H89" s="475">
        <v>157315.666</v>
      </c>
      <c r="I89" s="471">
        <v>51.14</v>
      </c>
      <c r="J89" s="471"/>
    </row>
    <row r="90" spans="1:10" ht="25.5" hidden="1" outlineLevel="3">
      <c r="A90" s="467" t="s">
        <v>739</v>
      </c>
      <c r="B90" s="468" t="s">
        <v>807</v>
      </c>
      <c r="C90" s="469"/>
      <c r="D90" s="468"/>
      <c r="E90" s="470">
        <v>12165.3</v>
      </c>
      <c r="F90" s="470">
        <v>12165.3</v>
      </c>
      <c r="G90" s="470">
        <v>9729.5797299999995</v>
      </c>
      <c r="H90" s="470">
        <v>9729.5797299999995</v>
      </c>
      <c r="I90" s="471">
        <v>79.98</v>
      </c>
      <c r="J90" s="471"/>
    </row>
    <row r="91" spans="1:10" ht="25.5" hidden="1" outlineLevel="4">
      <c r="A91" s="472" t="s">
        <v>739</v>
      </c>
      <c r="B91" s="473" t="s">
        <v>807</v>
      </c>
      <c r="C91" s="474" t="s">
        <v>719</v>
      </c>
      <c r="D91" s="473" t="s">
        <v>720</v>
      </c>
      <c r="E91" s="475">
        <v>12165.3</v>
      </c>
      <c r="F91" s="475">
        <v>12165.3</v>
      </c>
      <c r="G91" s="475">
        <v>9729.5797299999995</v>
      </c>
      <c r="H91" s="475">
        <v>9729.5797299999995</v>
      </c>
      <c r="I91" s="471">
        <v>79.98</v>
      </c>
      <c r="J91" s="471"/>
    </row>
    <row r="92" spans="1:10" ht="51" hidden="1" outlineLevel="2">
      <c r="A92" s="462" t="s">
        <v>808</v>
      </c>
      <c r="B92" s="463" t="s">
        <v>809</v>
      </c>
      <c r="C92" s="464"/>
      <c r="D92" s="463"/>
      <c r="E92" s="465">
        <v>66040.922500000001</v>
      </c>
      <c r="F92" s="465">
        <v>66040.922500000001</v>
      </c>
      <c r="G92" s="465">
        <v>34173.696779999998</v>
      </c>
      <c r="H92" s="465">
        <v>33877.696779999998</v>
      </c>
      <c r="I92" s="466">
        <v>51.3</v>
      </c>
      <c r="J92" s="466"/>
    </row>
    <row r="93" spans="1:10" ht="63.75" hidden="1" outlineLevel="3">
      <c r="A93" s="467" t="s">
        <v>810</v>
      </c>
      <c r="B93" s="468" t="s">
        <v>811</v>
      </c>
      <c r="C93" s="469"/>
      <c r="D93" s="468"/>
      <c r="E93" s="470">
        <v>66040.922500000001</v>
      </c>
      <c r="F93" s="470">
        <v>66040.922500000001</v>
      </c>
      <c r="G93" s="470">
        <v>34173.696779999998</v>
      </c>
      <c r="H93" s="470">
        <v>33877.696779999998</v>
      </c>
      <c r="I93" s="471">
        <v>51.3</v>
      </c>
      <c r="J93" s="471"/>
    </row>
    <row r="94" spans="1:10" ht="63.75" hidden="1" outlineLevel="4">
      <c r="A94" s="472" t="s">
        <v>810</v>
      </c>
      <c r="B94" s="473" t="s">
        <v>811</v>
      </c>
      <c r="C94" s="474" t="s">
        <v>719</v>
      </c>
      <c r="D94" s="473" t="s">
        <v>720</v>
      </c>
      <c r="E94" s="475">
        <v>66040.922500000001</v>
      </c>
      <c r="F94" s="475">
        <v>66040.922500000001</v>
      </c>
      <c r="G94" s="475">
        <v>34173.696779999998</v>
      </c>
      <c r="H94" s="475">
        <v>33877.696779999998</v>
      </c>
      <c r="I94" s="471">
        <v>51.3</v>
      </c>
      <c r="J94" s="476" t="s">
        <v>10</v>
      </c>
    </row>
    <row r="95" spans="1:10" ht="38.25" hidden="1" outlineLevel="1">
      <c r="A95" s="457" t="s">
        <v>812</v>
      </c>
      <c r="B95" s="458" t="s">
        <v>813</v>
      </c>
      <c r="C95" s="459"/>
      <c r="D95" s="458"/>
      <c r="E95" s="460">
        <v>1602727.0597099999</v>
      </c>
      <c r="F95" s="460">
        <v>1456578.9640599999</v>
      </c>
      <c r="G95" s="460">
        <v>340336.70568000001</v>
      </c>
      <c r="H95" s="460">
        <v>336636.21094000002</v>
      </c>
      <c r="I95" s="461">
        <v>21</v>
      </c>
      <c r="J95" s="461"/>
    </row>
    <row r="96" spans="1:10" ht="38.25" hidden="1" outlineLevel="2">
      <c r="A96" s="462" t="s">
        <v>814</v>
      </c>
      <c r="B96" s="463" t="s">
        <v>815</v>
      </c>
      <c r="C96" s="464"/>
      <c r="D96" s="463"/>
      <c r="E96" s="465">
        <v>288647.39861999999</v>
      </c>
      <c r="F96" s="465">
        <v>222844.40397000001</v>
      </c>
      <c r="G96" s="465">
        <v>30820.725689999999</v>
      </c>
      <c r="H96" s="465">
        <v>27120.230950000001</v>
      </c>
      <c r="I96" s="466">
        <v>9.4</v>
      </c>
      <c r="J96" s="466"/>
    </row>
    <row r="97" spans="1:10" ht="51" hidden="1" outlineLevel="3">
      <c r="A97" s="467" t="s">
        <v>816</v>
      </c>
      <c r="B97" s="468" t="s">
        <v>817</v>
      </c>
      <c r="C97" s="469"/>
      <c r="D97" s="468"/>
      <c r="E97" s="470">
        <v>288647.39861999999</v>
      </c>
      <c r="F97" s="470">
        <v>222844.40397000001</v>
      </c>
      <c r="G97" s="470">
        <v>30820.725689999999</v>
      </c>
      <c r="H97" s="470">
        <v>27120.230950000001</v>
      </c>
      <c r="I97" s="471">
        <v>9.4</v>
      </c>
      <c r="J97" s="471"/>
    </row>
    <row r="98" spans="1:10" ht="51" hidden="1" outlineLevel="4">
      <c r="A98" s="472" t="s">
        <v>816</v>
      </c>
      <c r="B98" s="473" t="s">
        <v>817</v>
      </c>
      <c r="C98" s="474" t="s">
        <v>818</v>
      </c>
      <c r="D98" s="473" t="s">
        <v>819</v>
      </c>
      <c r="E98" s="475">
        <v>288647.39861999999</v>
      </c>
      <c r="F98" s="475">
        <v>222844.40397000001</v>
      </c>
      <c r="G98" s="475">
        <v>30820.725689999999</v>
      </c>
      <c r="H98" s="475">
        <v>27120.230950000001</v>
      </c>
      <c r="I98" s="471">
        <v>9.4</v>
      </c>
      <c r="J98" s="471"/>
    </row>
    <row r="99" spans="1:10" ht="38.25" hidden="1" outlineLevel="2">
      <c r="A99" s="462" t="s">
        <v>820</v>
      </c>
      <c r="B99" s="463" t="s">
        <v>821</v>
      </c>
      <c r="C99" s="464"/>
      <c r="D99" s="463"/>
      <c r="E99" s="465">
        <v>1294079.6610900001</v>
      </c>
      <c r="F99" s="465">
        <v>1213734.56009</v>
      </c>
      <c r="G99" s="465">
        <v>292775.97999000002</v>
      </c>
      <c r="H99" s="465">
        <v>292775.97999000002</v>
      </c>
      <c r="I99" s="466">
        <v>22.62</v>
      </c>
      <c r="J99" s="466"/>
    </row>
    <row r="100" spans="1:10" ht="76.5" hidden="1" outlineLevel="3">
      <c r="A100" s="467" t="s">
        <v>717</v>
      </c>
      <c r="B100" s="468" t="s">
        <v>822</v>
      </c>
      <c r="C100" s="469"/>
      <c r="D100" s="468"/>
      <c r="E100" s="470">
        <v>933140.64300000004</v>
      </c>
      <c r="F100" s="470">
        <v>852795.54200000002</v>
      </c>
      <c r="G100" s="470">
        <v>119463.35811</v>
      </c>
      <c r="H100" s="470">
        <v>119463.35811</v>
      </c>
      <c r="I100" s="471">
        <v>12.8</v>
      </c>
      <c r="J100" s="471"/>
    </row>
    <row r="101" spans="1:10" ht="76.5" hidden="1" outlineLevel="4">
      <c r="A101" s="472" t="s">
        <v>717</v>
      </c>
      <c r="B101" s="473" t="s">
        <v>822</v>
      </c>
      <c r="C101" s="474" t="s">
        <v>719</v>
      </c>
      <c r="D101" s="473" t="s">
        <v>720</v>
      </c>
      <c r="E101" s="475">
        <v>933140.64300000004</v>
      </c>
      <c r="F101" s="475">
        <v>852795.54200000002</v>
      </c>
      <c r="G101" s="475">
        <v>119463.35811</v>
      </c>
      <c r="H101" s="475">
        <v>119463.35811</v>
      </c>
      <c r="I101" s="471">
        <v>12.8</v>
      </c>
      <c r="J101" s="471"/>
    </row>
    <row r="102" spans="1:10" ht="25.5" hidden="1" outlineLevel="3">
      <c r="A102" s="467" t="s">
        <v>823</v>
      </c>
      <c r="B102" s="468" t="s">
        <v>824</v>
      </c>
      <c r="C102" s="469"/>
      <c r="D102" s="468"/>
      <c r="E102" s="470">
        <v>10000</v>
      </c>
      <c r="F102" s="470">
        <v>10000</v>
      </c>
      <c r="G102" s="470">
        <v>1498.1183699999999</v>
      </c>
      <c r="H102" s="470">
        <v>1498.1183699999999</v>
      </c>
      <c r="I102" s="471">
        <v>14.98</v>
      </c>
      <c r="J102" s="471"/>
    </row>
    <row r="103" spans="1:10" ht="25.5" hidden="1" outlineLevel="4">
      <c r="A103" s="472" t="s">
        <v>823</v>
      </c>
      <c r="B103" s="473" t="s">
        <v>824</v>
      </c>
      <c r="C103" s="474" t="s">
        <v>719</v>
      </c>
      <c r="D103" s="473" t="s">
        <v>720</v>
      </c>
      <c r="E103" s="475">
        <v>10000</v>
      </c>
      <c r="F103" s="475">
        <v>10000</v>
      </c>
      <c r="G103" s="475">
        <v>1498.1183699999999</v>
      </c>
      <c r="H103" s="475">
        <v>1498.1183699999999</v>
      </c>
      <c r="I103" s="471">
        <v>14.98</v>
      </c>
      <c r="J103" s="471"/>
    </row>
    <row r="104" spans="1:10" ht="25.5" hidden="1" outlineLevel="3">
      <c r="A104" s="467" t="s">
        <v>728</v>
      </c>
      <c r="B104" s="468" t="s">
        <v>825</v>
      </c>
      <c r="C104" s="469"/>
      <c r="D104" s="468"/>
      <c r="E104" s="470">
        <v>350939.01809000003</v>
      </c>
      <c r="F104" s="470">
        <v>350939.01809000003</v>
      </c>
      <c r="G104" s="470">
        <v>171814.50351000001</v>
      </c>
      <c r="H104" s="470">
        <v>171814.50351000001</v>
      </c>
      <c r="I104" s="471">
        <v>48.96</v>
      </c>
      <c r="J104" s="471"/>
    </row>
    <row r="105" spans="1:10" ht="25.5" hidden="1" outlineLevel="4">
      <c r="A105" s="472" t="s">
        <v>728</v>
      </c>
      <c r="B105" s="473" t="s">
        <v>825</v>
      </c>
      <c r="C105" s="474" t="s">
        <v>719</v>
      </c>
      <c r="D105" s="473" t="s">
        <v>720</v>
      </c>
      <c r="E105" s="475">
        <v>35378</v>
      </c>
      <c r="F105" s="475">
        <v>35378</v>
      </c>
      <c r="G105" s="475">
        <v>35378</v>
      </c>
      <c r="H105" s="475">
        <v>35378</v>
      </c>
      <c r="I105" s="471">
        <v>100</v>
      </c>
      <c r="J105" s="471"/>
    </row>
    <row r="106" spans="1:10" ht="25.5" hidden="1" outlineLevel="4">
      <c r="A106" s="472" t="s">
        <v>728</v>
      </c>
      <c r="B106" s="473" t="s">
        <v>825</v>
      </c>
      <c r="C106" s="474" t="s">
        <v>818</v>
      </c>
      <c r="D106" s="473" t="s">
        <v>819</v>
      </c>
      <c r="E106" s="475">
        <v>315561.01809000003</v>
      </c>
      <c r="F106" s="475">
        <v>315561.01809000003</v>
      </c>
      <c r="G106" s="475">
        <v>136436.50351000001</v>
      </c>
      <c r="H106" s="475">
        <v>136436.50351000001</v>
      </c>
      <c r="I106" s="471">
        <v>43.24</v>
      </c>
      <c r="J106" s="471"/>
    </row>
    <row r="107" spans="1:10" ht="38.25" hidden="1" outlineLevel="2">
      <c r="A107" s="462" t="s">
        <v>826</v>
      </c>
      <c r="B107" s="463" t="s">
        <v>827</v>
      </c>
      <c r="C107" s="464"/>
      <c r="D107" s="463"/>
      <c r="E107" s="465">
        <v>20000</v>
      </c>
      <c r="F107" s="465">
        <v>20000</v>
      </c>
      <c r="G107" s="465">
        <v>16740</v>
      </c>
      <c r="H107" s="465">
        <v>16740</v>
      </c>
      <c r="I107" s="466">
        <v>83.7</v>
      </c>
      <c r="J107" s="466"/>
    </row>
    <row r="108" spans="1:10" ht="76.5" hidden="1" outlineLevel="3">
      <c r="A108" s="467" t="s">
        <v>717</v>
      </c>
      <c r="B108" s="468" t="s">
        <v>828</v>
      </c>
      <c r="C108" s="469"/>
      <c r="D108" s="468"/>
      <c r="E108" s="470">
        <v>20000</v>
      </c>
      <c r="F108" s="470">
        <v>20000</v>
      </c>
      <c r="G108" s="470">
        <v>16740</v>
      </c>
      <c r="H108" s="470">
        <v>16740</v>
      </c>
      <c r="I108" s="471">
        <v>83.7</v>
      </c>
      <c r="J108" s="471"/>
    </row>
    <row r="109" spans="1:10" ht="76.5" hidden="1" outlineLevel="4">
      <c r="A109" s="472" t="s">
        <v>717</v>
      </c>
      <c r="B109" s="473" t="s">
        <v>828</v>
      </c>
      <c r="C109" s="474" t="s">
        <v>719</v>
      </c>
      <c r="D109" s="473" t="s">
        <v>720</v>
      </c>
      <c r="E109" s="475">
        <v>20000</v>
      </c>
      <c r="F109" s="475">
        <v>20000</v>
      </c>
      <c r="G109" s="475">
        <v>16740</v>
      </c>
      <c r="H109" s="475">
        <v>16740</v>
      </c>
      <c r="I109" s="471">
        <v>83.7</v>
      </c>
      <c r="J109" s="471"/>
    </row>
    <row r="110" spans="1:10" ht="38.25" hidden="1" outlineLevel="1">
      <c r="A110" s="457" t="s">
        <v>829</v>
      </c>
      <c r="B110" s="458" t="s">
        <v>830</v>
      </c>
      <c r="C110" s="459"/>
      <c r="D110" s="458"/>
      <c r="E110" s="460">
        <v>497063.43222000002</v>
      </c>
      <c r="F110" s="460">
        <v>497028.02821999998</v>
      </c>
      <c r="G110" s="460">
        <v>153829.82496999999</v>
      </c>
      <c r="H110" s="460">
        <v>151174.03748</v>
      </c>
      <c r="I110" s="461">
        <v>30.41</v>
      </c>
      <c r="J110" s="461"/>
    </row>
    <row r="111" spans="1:10" ht="51" hidden="1" outlineLevel="2">
      <c r="A111" s="462" t="s">
        <v>831</v>
      </c>
      <c r="B111" s="463" t="s">
        <v>832</v>
      </c>
      <c r="C111" s="464"/>
      <c r="D111" s="463"/>
      <c r="E111" s="465">
        <v>10855.404</v>
      </c>
      <c r="F111" s="465">
        <v>10820</v>
      </c>
      <c r="G111" s="465">
        <v>30</v>
      </c>
      <c r="H111" s="465">
        <v>20</v>
      </c>
      <c r="I111" s="466">
        <v>0.18</v>
      </c>
      <c r="J111" s="466"/>
    </row>
    <row r="112" spans="1:10" ht="76.5" hidden="1" outlineLevel="3">
      <c r="A112" s="467" t="s">
        <v>717</v>
      </c>
      <c r="B112" s="468" t="s">
        <v>833</v>
      </c>
      <c r="C112" s="469"/>
      <c r="D112" s="468"/>
      <c r="E112" s="470">
        <v>55.404000000000003</v>
      </c>
      <c r="F112" s="470">
        <v>20</v>
      </c>
      <c r="G112" s="470">
        <v>20</v>
      </c>
      <c r="H112" s="470">
        <v>20</v>
      </c>
      <c r="I112" s="471">
        <v>36.1</v>
      </c>
      <c r="J112" s="471"/>
    </row>
    <row r="113" spans="1:10" ht="76.5" hidden="1" outlineLevel="4">
      <c r="A113" s="472" t="s">
        <v>717</v>
      </c>
      <c r="B113" s="473" t="s">
        <v>833</v>
      </c>
      <c r="C113" s="474" t="s">
        <v>719</v>
      </c>
      <c r="D113" s="473" t="s">
        <v>720</v>
      </c>
      <c r="E113" s="475">
        <v>55.404000000000003</v>
      </c>
      <c r="F113" s="475">
        <v>20</v>
      </c>
      <c r="G113" s="475">
        <v>20</v>
      </c>
      <c r="H113" s="475">
        <v>20</v>
      </c>
      <c r="I113" s="471">
        <v>36.1</v>
      </c>
      <c r="J113" s="471"/>
    </row>
    <row r="114" spans="1:10" ht="63.75" hidden="1" outlineLevel="3">
      <c r="A114" s="467" t="s">
        <v>834</v>
      </c>
      <c r="B114" s="468" t="s">
        <v>835</v>
      </c>
      <c r="C114" s="469"/>
      <c r="D114" s="468"/>
      <c r="E114" s="470">
        <v>10800</v>
      </c>
      <c r="F114" s="470">
        <v>10800</v>
      </c>
      <c r="G114" s="470">
        <v>10</v>
      </c>
      <c r="H114" s="470">
        <v>0</v>
      </c>
      <c r="I114" s="471">
        <v>0</v>
      </c>
      <c r="J114" s="471"/>
    </row>
    <row r="115" spans="1:10" ht="63.75" hidden="1" outlineLevel="4">
      <c r="A115" s="472" t="s">
        <v>834</v>
      </c>
      <c r="B115" s="473" t="s">
        <v>835</v>
      </c>
      <c r="C115" s="474" t="s">
        <v>719</v>
      </c>
      <c r="D115" s="473" t="s">
        <v>720</v>
      </c>
      <c r="E115" s="475">
        <v>10800</v>
      </c>
      <c r="F115" s="475">
        <v>10800</v>
      </c>
      <c r="G115" s="475">
        <v>10</v>
      </c>
      <c r="H115" s="475">
        <v>0</v>
      </c>
      <c r="I115" s="471">
        <v>0</v>
      </c>
      <c r="J115" s="471"/>
    </row>
    <row r="116" spans="1:10" ht="63.75" hidden="1" outlineLevel="2">
      <c r="A116" s="462" t="s">
        <v>836</v>
      </c>
      <c r="B116" s="463" t="s">
        <v>837</v>
      </c>
      <c r="C116" s="464"/>
      <c r="D116" s="463"/>
      <c r="E116" s="465">
        <v>26742.795699999999</v>
      </c>
      <c r="F116" s="465">
        <v>26742.795699999999</v>
      </c>
      <c r="G116" s="465">
        <v>1984.00324</v>
      </c>
      <c r="H116" s="465">
        <v>984.00324000000001</v>
      </c>
      <c r="I116" s="466">
        <v>3.68</v>
      </c>
      <c r="J116" s="466"/>
    </row>
    <row r="117" spans="1:10" ht="76.5" hidden="1" outlineLevel="3">
      <c r="A117" s="467" t="s">
        <v>717</v>
      </c>
      <c r="B117" s="468" t="s">
        <v>838</v>
      </c>
      <c r="C117" s="469"/>
      <c r="D117" s="468"/>
      <c r="E117" s="470">
        <v>1742.7956999999999</v>
      </c>
      <c r="F117" s="470">
        <v>1742.7956999999999</v>
      </c>
      <c r="G117" s="470">
        <v>984.00324000000001</v>
      </c>
      <c r="H117" s="470">
        <v>984.00324000000001</v>
      </c>
      <c r="I117" s="471">
        <v>56.46</v>
      </c>
      <c r="J117" s="471"/>
    </row>
    <row r="118" spans="1:10" ht="76.5" hidden="1" outlineLevel="4">
      <c r="A118" s="472" t="s">
        <v>717</v>
      </c>
      <c r="B118" s="473" t="s">
        <v>838</v>
      </c>
      <c r="C118" s="474" t="s">
        <v>719</v>
      </c>
      <c r="D118" s="473" t="s">
        <v>720</v>
      </c>
      <c r="E118" s="475">
        <v>1742.7956999999999</v>
      </c>
      <c r="F118" s="475">
        <v>1742.7956999999999</v>
      </c>
      <c r="G118" s="475">
        <v>984.00324000000001</v>
      </c>
      <c r="H118" s="475">
        <v>984.00324000000001</v>
      </c>
      <c r="I118" s="471">
        <v>56.46</v>
      </c>
      <c r="J118" s="471"/>
    </row>
    <row r="119" spans="1:10" ht="127.5" hidden="1" outlineLevel="3">
      <c r="A119" s="467" t="s">
        <v>839</v>
      </c>
      <c r="B119" s="468" t="s">
        <v>840</v>
      </c>
      <c r="C119" s="469"/>
      <c r="D119" s="468"/>
      <c r="E119" s="470">
        <v>25000</v>
      </c>
      <c r="F119" s="470">
        <v>25000</v>
      </c>
      <c r="G119" s="470">
        <v>1000</v>
      </c>
      <c r="H119" s="470">
        <v>0</v>
      </c>
      <c r="I119" s="471">
        <v>0</v>
      </c>
      <c r="J119" s="471"/>
    </row>
    <row r="120" spans="1:10" ht="127.5" hidden="1" outlineLevel="4">
      <c r="A120" s="472" t="s">
        <v>839</v>
      </c>
      <c r="B120" s="473" t="s">
        <v>840</v>
      </c>
      <c r="C120" s="474" t="s">
        <v>719</v>
      </c>
      <c r="D120" s="473" t="s">
        <v>720</v>
      </c>
      <c r="E120" s="475">
        <v>25000</v>
      </c>
      <c r="F120" s="475">
        <v>25000</v>
      </c>
      <c r="G120" s="475">
        <v>1000</v>
      </c>
      <c r="H120" s="475">
        <v>0</v>
      </c>
      <c r="I120" s="471">
        <v>0</v>
      </c>
      <c r="J120" s="471"/>
    </row>
    <row r="121" spans="1:10" ht="51" hidden="1" outlineLevel="2">
      <c r="A121" s="462" t="s">
        <v>841</v>
      </c>
      <c r="B121" s="463" t="s">
        <v>842</v>
      </c>
      <c r="C121" s="464"/>
      <c r="D121" s="463"/>
      <c r="E121" s="465">
        <v>459465.23252000002</v>
      </c>
      <c r="F121" s="465">
        <v>459465.23252000002</v>
      </c>
      <c r="G121" s="465">
        <v>151815.82173</v>
      </c>
      <c r="H121" s="465">
        <v>150170.03424000001</v>
      </c>
      <c r="I121" s="466">
        <v>32.68</v>
      </c>
      <c r="J121" s="466"/>
    </row>
    <row r="122" spans="1:10" ht="76.5" hidden="1" outlineLevel="3">
      <c r="A122" s="467" t="s">
        <v>717</v>
      </c>
      <c r="B122" s="468" t="s">
        <v>843</v>
      </c>
      <c r="C122" s="469"/>
      <c r="D122" s="468"/>
      <c r="E122" s="470">
        <v>122966.63204</v>
      </c>
      <c r="F122" s="470">
        <v>122966.63204</v>
      </c>
      <c r="G122" s="470">
        <v>48585.119319999998</v>
      </c>
      <c r="H122" s="470">
        <v>48585.119319999998</v>
      </c>
      <c r="I122" s="471">
        <v>39.51</v>
      </c>
      <c r="J122" s="471"/>
    </row>
    <row r="123" spans="1:10" ht="76.5" hidden="1" outlineLevel="4">
      <c r="A123" s="472" t="s">
        <v>717</v>
      </c>
      <c r="B123" s="473" t="s">
        <v>843</v>
      </c>
      <c r="C123" s="474" t="s">
        <v>719</v>
      </c>
      <c r="D123" s="473" t="s">
        <v>720</v>
      </c>
      <c r="E123" s="475">
        <v>122966.63204</v>
      </c>
      <c r="F123" s="475">
        <v>122966.63204</v>
      </c>
      <c r="G123" s="475">
        <v>48585.119319999998</v>
      </c>
      <c r="H123" s="475">
        <v>48585.119319999998</v>
      </c>
      <c r="I123" s="471">
        <v>39.51</v>
      </c>
      <c r="J123" s="471"/>
    </row>
    <row r="124" spans="1:10" ht="51" hidden="1" outlineLevel="3">
      <c r="A124" s="467" t="s">
        <v>844</v>
      </c>
      <c r="B124" s="468" t="s">
        <v>845</v>
      </c>
      <c r="C124" s="469"/>
      <c r="D124" s="468"/>
      <c r="E124" s="470">
        <v>29000</v>
      </c>
      <c r="F124" s="470">
        <v>29000</v>
      </c>
      <c r="G124" s="470">
        <v>1500</v>
      </c>
      <c r="H124" s="470">
        <v>0</v>
      </c>
      <c r="I124" s="471">
        <v>0</v>
      </c>
      <c r="J124" s="471"/>
    </row>
    <row r="125" spans="1:10" ht="51" hidden="1" outlineLevel="4">
      <c r="A125" s="472" t="s">
        <v>844</v>
      </c>
      <c r="B125" s="473" t="s">
        <v>845</v>
      </c>
      <c r="C125" s="474" t="s">
        <v>719</v>
      </c>
      <c r="D125" s="473" t="s">
        <v>720</v>
      </c>
      <c r="E125" s="475">
        <v>29000</v>
      </c>
      <c r="F125" s="475">
        <v>29000</v>
      </c>
      <c r="G125" s="475">
        <v>1500</v>
      </c>
      <c r="H125" s="475">
        <v>0</v>
      </c>
      <c r="I125" s="471">
        <v>0</v>
      </c>
      <c r="J125" s="471"/>
    </row>
    <row r="126" spans="1:10" ht="63.75" hidden="1" outlineLevel="3">
      <c r="A126" s="467" t="s">
        <v>846</v>
      </c>
      <c r="B126" s="468" t="s">
        <v>847</v>
      </c>
      <c r="C126" s="469"/>
      <c r="D126" s="468"/>
      <c r="E126" s="470">
        <v>4710</v>
      </c>
      <c r="F126" s="470">
        <v>4710</v>
      </c>
      <c r="G126" s="470">
        <v>2360.7481699999998</v>
      </c>
      <c r="H126" s="470">
        <v>2360.7481699999998</v>
      </c>
      <c r="I126" s="471">
        <v>50.12</v>
      </c>
      <c r="J126" s="471"/>
    </row>
    <row r="127" spans="1:10" ht="63.75" hidden="1" outlineLevel="4">
      <c r="A127" s="472" t="s">
        <v>846</v>
      </c>
      <c r="B127" s="473" t="s">
        <v>847</v>
      </c>
      <c r="C127" s="474" t="s">
        <v>719</v>
      </c>
      <c r="D127" s="473" t="s">
        <v>720</v>
      </c>
      <c r="E127" s="475">
        <v>4710</v>
      </c>
      <c r="F127" s="475">
        <v>4710</v>
      </c>
      <c r="G127" s="475">
        <v>2360.7481699999998</v>
      </c>
      <c r="H127" s="475">
        <v>2360.7481699999998</v>
      </c>
      <c r="I127" s="471">
        <v>50.12</v>
      </c>
      <c r="J127" s="471"/>
    </row>
    <row r="128" spans="1:10" ht="51" hidden="1" outlineLevel="3">
      <c r="A128" s="467" t="s">
        <v>848</v>
      </c>
      <c r="B128" s="468" t="s">
        <v>849</v>
      </c>
      <c r="C128" s="469"/>
      <c r="D128" s="468"/>
      <c r="E128" s="470">
        <v>7500</v>
      </c>
      <c r="F128" s="470">
        <v>7500</v>
      </c>
      <c r="G128" s="470">
        <v>1000</v>
      </c>
      <c r="H128" s="470">
        <v>1000</v>
      </c>
      <c r="I128" s="471">
        <v>13.33</v>
      </c>
      <c r="J128" s="471"/>
    </row>
    <row r="129" spans="1:10" ht="51" hidden="1" outlineLevel="4">
      <c r="A129" s="472" t="s">
        <v>848</v>
      </c>
      <c r="B129" s="473" t="s">
        <v>849</v>
      </c>
      <c r="C129" s="474" t="s">
        <v>719</v>
      </c>
      <c r="D129" s="473" t="s">
        <v>720</v>
      </c>
      <c r="E129" s="475">
        <v>7500</v>
      </c>
      <c r="F129" s="475">
        <v>7500</v>
      </c>
      <c r="G129" s="475">
        <v>1000</v>
      </c>
      <c r="H129" s="475">
        <v>1000</v>
      </c>
      <c r="I129" s="471">
        <v>13.33</v>
      </c>
      <c r="J129" s="471"/>
    </row>
    <row r="130" spans="1:10" ht="76.5" hidden="1" outlineLevel="3">
      <c r="A130" s="467" t="s">
        <v>850</v>
      </c>
      <c r="B130" s="468" t="s">
        <v>851</v>
      </c>
      <c r="C130" s="469"/>
      <c r="D130" s="468"/>
      <c r="E130" s="470">
        <v>6296</v>
      </c>
      <c r="F130" s="470">
        <v>6296</v>
      </c>
      <c r="G130" s="470">
        <v>2400</v>
      </c>
      <c r="H130" s="470">
        <v>2352</v>
      </c>
      <c r="I130" s="471">
        <v>37.36</v>
      </c>
      <c r="J130" s="471"/>
    </row>
    <row r="131" spans="1:10" ht="76.5" hidden="1" outlineLevel="4">
      <c r="A131" s="472" t="s">
        <v>850</v>
      </c>
      <c r="B131" s="473" t="s">
        <v>851</v>
      </c>
      <c r="C131" s="474" t="s">
        <v>719</v>
      </c>
      <c r="D131" s="473" t="s">
        <v>720</v>
      </c>
      <c r="E131" s="475">
        <v>6296</v>
      </c>
      <c r="F131" s="475">
        <v>6296</v>
      </c>
      <c r="G131" s="475">
        <v>2400</v>
      </c>
      <c r="H131" s="475">
        <v>2352</v>
      </c>
      <c r="I131" s="471">
        <v>37.36</v>
      </c>
      <c r="J131" s="471"/>
    </row>
    <row r="132" spans="1:10" ht="51" hidden="1" outlineLevel="3">
      <c r="A132" s="467" t="s">
        <v>852</v>
      </c>
      <c r="B132" s="468" t="s">
        <v>853</v>
      </c>
      <c r="C132" s="469"/>
      <c r="D132" s="468"/>
      <c r="E132" s="470">
        <v>4480</v>
      </c>
      <c r="F132" s="470">
        <v>4480</v>
      </c>
      <c r="G132" s="470">
        <v>1775</v>
      </c>
      <c r="H132" s="470">
        <v>1770</v>
      </c>
      <c r="I132" s="471">
        <v>39.51</v>
      </c>
      <c r="J132" s="471"/>
    </row>
    <row r="133" spans="1:10" ht="51" hidden="1" outlineLevel="4">
      <c r="A133" s="472" t="s">
        <v>852</v>
      </c>
      <c r="B133" s="473" t="s">
        <v>853</v>
      </c>
      <c r="C133" s="474" t="s">
        <v>719</v>
      </c>
      <c r="D133" s="473" t="s">
        <v>720</v>
      </c>
      <c r="E133" s="475">
        <v>4480</v>
      </c>
      <c r="F133" s="475">
        <v>4480</v>
      </c>
      <c r="G133" s="475">
        <v>1775</v>
      </c>
      <c r="H133" s="475">
        <v>1770</v>
      </c>
      <c r="I133" s="471">
        <v>39.51</v>
      </c>
      <c r="J133" s="471"/>
    </row>
    <row r="134" spans="1:10" ht="63.75" hidden="1" outlineLevel="3">
      <c r="A134" s="467" t="s">
        <v>62</v>
      </c>
      <c r="B134" s="468" t="s">
        <v>854</v>
      </c>
      <c r="C134" s="469"/>
      <c r="D134" s="468"/>
      <c r="E134" s="470">
        <v>35449.810660000003</v>
      </c>
      <c r="F134" s="470">
        <v>35449.810660000003</v>
      </c>
      <c r="G134" s="470">
        <v>2899.2379500000002</v>
      </c>
      <c r="H134" s="470">
        <v>2806.45046</v>
      </c>
      <c r="I134" s="471">
        <v>7.92</v>
      </c>
      <c r="J134" s="471"/>
    </row>
    <row r="135" spans="1:10" ht="63.75" hidden="1" outlineLevel="4">
      <c r="A135" s="472" t="s">
        <v>62</v>
      </c>
      <c r="B135" s="473" t="s">
        <v>854</v>
      </c>
      <c r="C135" s="474" t="s">
        <v>719</v>
      </c>
      <c r="D135" s="473" t="s">
        <v>720</v>
      </c>
      <c r="E135" s="475">
        <v>35449.810660000003</v>
      </c>
      <c r="F135" s="475">
        <v>35449.810660000003</v>
      </c>
      <c r="G135" s="475">
        <v>2899.2379500000002</v>
      </c>
      <c r="H135" s="475">
        <v>2806.45046</v>
      </c>
      <c r="I135" s="471">
        <v>7.92</v>
      </c>
      <c r="J135" s="471"/>
    </row>
    <row r="136" spans="1:10" ht="63.75" hidden="1" outlineLevel="3">
      <c r="A136" s="467" t="s">
        <v>855</v>
      </c>
      <c r="B136" s="468" t="s">
        <v>856</v>
      </c>
      <c r="C136" s="469"/>
      <c r="D136" s="468"/>
      <c r="E136" s="470">
        <v>34420</v>
      </c>
      <c r="F136" s="470">
        <v>34420</v>
      </c>
      <c r="G136" s="470">
        <v>9029.9745000000003</v>
      </c>
      <c r="H136" s="470">
        <v>9029.9745000000003</v>
      </c>
      <c r="I136" s="471">
        <v>26.23</v>
      </c>
      <c r="J136" s="471"/>
    </row>
    <row r="137" spans="1:10" ht="63.75" hidden="1" outlineLevel="4">
      <c r="A137" s="472" t="s">
        <v>855</v>
      </c>
      <c r="B137" s="473" t="s">
        <v>856</v>
      </c>
      <c r="C137" s="474" t="s">
        <v>719</v>
      </c>
      <c r="D137" s="473" t="s">
        <v>720</v>
      </c>
      <c r="E137" s="475">
        <v>34420</v>
      </c>
      <c r="F137" s="475">
        <v>34420</v>
      </c>
      <c r="G137" s="475">
        <v>9029.9745000000003</v>
      </c>
      <c r="H137" s="475">
        <v>9029.9745000000003</v>
      </c>
      <c r="I137" s="471">
        <v>26.23</v>
      </c>
      <c r="J137" s="471"/>
    </row>
    <row r="138" spans="1:10" ht="140.25" hidden="1" outlineLevel="3">
      <c r="A138" s="467" t="s">
        <v>857</v>
      </c>
      <c r="B138" s="468" t="s">
        <v>858</v>
      </c>
      <c r="C138" s="469"/>
      <c r="D138" s="468"/>
      <c r="E138" s="470">
        <v>35329.404869999998</v>
      </c>
      <c r="F138" s="470">
        <v>35329.404869999998</v>
      </c>
      <c r="G138" s="470">
        <v>13101.95602</v>
      </c>
      <c r="H138" s="470">
        <v>13101.95602</v>
      </c>
      <c r="I138" s="471">
        <v>37.090000000000003</v>
      </c>
      <c r="J138" s="471"/>
    </row>
    <row r="139" spans="1:10" ht="140.25" hidden="1" outlineLevel="4">
      <c r="A139" s="472" t="s">
        <v>857</v>
      </c>
      <c r="B139" s="473" t="s">
        <v>858</v>
      </c>
      <c r="C139" s="474" t="s">
        <v>719</v>
      </c>
      <c r="D139" s="473" t="s">
        <v>720</v>
      </c>
      <c r="E139" s="475">
        <v>35329.404869999998</v>
      </c>
      <c r="F139" s="475">
        <v>35329.404869999998</v>
      </c>
      <c r="G139" s="475">
        <v>13101.95602</v>
      </c>
      <c r="H139" s="475">
        <v>13101.95602</v>
      </c>
      <c r="I139" s="471">
        <v>37.090000000000003</v>
      </c>
      <c r="J139" s="471"/>
    </row>
    <row r="140" spans="1:10" ht="140.25" hidden="1" outlineLevel="3">
      <c r="A140" s="467" t="s">
        <v>859</v>
      </c>
      <c r="B140" s="468" t="s">
        <v>860</v>
      </c>
      <c r="C140" s="469"/>
      <c r="D140" s="468"/>
      <c r="E140" s="470">
        <v>948.56574999999998</v>
      </c>
      <c r="F140" s="470">
        <v>948.56574999999998</v>
      </c>
      <c r="G140" s="470">
        <v>458.16858000000002</v>
      </c>
      <c r="H140" s="470">
        <v>458.16858000000002</v>
      </c>
      <c r="I140" s="471">
        <v>48.3</v>
      </c>
      <c r="J140" s="471"/>
    </row>
    <row r="141" spans="1:10" ht="140.25" hidden="1" outlineLevel="4">
      <c r="A141" s="472" t="s">
        <v>859</v>
      </c>
      <c r="B141" s="473" t="s">
        <v>860</v>
      </c>
      <c r="C141" s="474" t="s">
        <v>719</v>
      </c>
      <c r="D141" s="473" t="s">
        <v>720</v>
      </c>
      <c r="E141" s="475">
        <v>948.56574999999998</v>
      </c>
      <c r="F141" s="475">
        <v>948.56574999999998</v>
      </c>
      <c r="G141" s="475">
        <v>458.16858000000002</v>
      </c>
      <c r="H141" s="475">
        <v>458.16858000000002</v>
      </c>
      <c r="I141" s="471">
        <v>48.3</v>
      </c>
      <c r="J141" s="471"/>
    </row>
    <row r="142" spans="1:10" ht="25.5" hidden="1" outlineLevel="3">
      <c r="A142" s="467" t="s">
        <v>739</v>
      </c>
      <c r="B142" s="468" t="s">
        <v>861</v>
      </c>
      <c r="C142" s="469"/>
      <c r="D142" s="468"/>
      <c r="E142" s="470">
        <v>141605.93833</v>
      </c>
      <c r="F142" s="470">
        <v>141605.93833</v>
      </c>
      <c r="G142" s="470">
        <v>45777.127419999997</v>
      </c>
      <c r="H142" s="470">
        <v>45777.127419999997</v>
      </c>
      <c r="I142" s="471">
        <v>32.33</v>
      </c>
      <c r="J142" s="471"/>
    </row>
    <row r="143" spans="1:10" ht="25.5" hidden="1" outlineLevel="4">
      <c r="A143" s="472" t="s">
        <v>739</v>
      </c>
      <c r="B143" s="473" t="s">
        <v>861</v>
      </c>
      <c r="C143" s="474" t="s">
        <v>719</v>
      </c>
      <c r="D143" s="473" t="s">
        <v>720</v>
      </c>
      <c r="E143" s="475">
        <v>141605.93833</v>
      </c>
      <c r="F143" s="475">
        <v>141605.93833</v>
      </c>
      <c r="G143" s="475">
        <v>45777.127419999997</v>
      </c>
      <c r="H143" s="475">
        <v>45777.127419999997</v>
      </c>
      <c r="I143" s="471">
        <v>32.33</v>
      </c>
      <c r="J143" s="471"/>
    </row>
    <row r="144" spans="1:10" ht="38.25" hidden="1" outlineLevel="3">
      <c r="A144" s="467" t="s">
        <v>862</v>
      </c>
      <c r="B144" s="468" t="s">
        <v>863</v>
      </c>
      <c r="C144" s="469"/>
      <c r="D144" s="468"/>
      <c r="E144" s="470">
        <v>35904.47507</v>
      </c>
      <c r="F144" s="470">
        <v>35904.47507</v>
      </c>
      <c r="G144" s="470">
        <v>22855.912420000001</v>
      </c>
      <c r="H144" s="470">
        <v>22855.912420000001</v>
      </c>
      <c r="I144" s="471">
        <v>63.66</v>
      </c>
      <c r="J144" s="471"/>
    </row>
    <row r="145" spans="1:10" ht="38.25" hidden="1" outlineLevel="4">
      <c r="A145" s="472" t="s">
        <v>862</v>
      </c>
      <c r="B145" s="473" t="s">
        <v>863</v>
      </c>
      <c r="C145" s="474" t="s">
        <v>719</v>
      </c>
      <c r="D145" s="473" t="s">
        <v>720</v>
      </c>
      <c r="E145" s="475">
        <v>35904.47507</v>
      </c>
      <c r="F145" s="475">
        <v>35904.47507</v>
      </c>
      <c r="G145" s="475">
        <v>22855.912420000001</v>
      </c>
      <c r="H145" s="475">
        <v>22855.912420000001</v>
      </c>
      <c r="I145" s="471">
        <v>63.66</v>
      </c>
      <c r="J145" s="471"/>
    </row>
    <row r="146" spans="1:10" ht="25.5" hidden="1" outlineLevel="3">
      <c r="A146" s="467" t="s">
        <v>728</v>
      </c>
      <c r="B146" s="468" t="s">
        <v>864</v>
      </c>
      <c r="C146" s="469"/>
      <c r="D146" s="468"/>
      <c r="E146" s="470">
        <v>854.4058</v>
      </c>
      <c r="F146" s="470">
        <v>854.4058</v>
      </c>
      <c r="G146" s="470">
        <v>72.577349999999996</v>
      </c>
      <c r="H146" s="470">
        <v>72.577349999999996</v>
      </c>
      <c r="I146" s="471">
        <v>8.49</v>
      </c>
      <c r="J146" s="471"/>
    </row>
    <row r="147" spans="1:10" ht="25.5" hidden="1" outlineLevel="4">
      <c r="A147" s="472" t="s">
        <v>728</v>
      </c>
      <c r="B147" s="473" t="s">
        <v>864</v>
      </c>
      <c r="C147" s="474" t="s">
        <v>719</v>
      </c>
      <c r="D147" s="473" t="s">
        <v>720</v>
      </c>
      <c r="E147" s="475">
        <v>854.4058</v>
      </c>
      <c r="F147" s="475">
        <v>854.4058</v>
      </c>
      <c r="G147" s="475">
        <v>72.577349999999996</v>
      </c>
      <c r="H147" s="475">
        <v>72.577349999999996</v>
      </c>
      <c r="I147" s="471">
        <v>8.49</v>
      </c>
      <c r="J147" s="471"/>
    </row>
    <row r="148" spans="1:10" ht="25.5" hidden="1" outlineLevel="1">
      <c r="A148" s="457" t="s">
        <v>865</v>
      </c>
      <c r="B148" s="458" t="s">
        <v>866</v>
      </c>
      <c r="C148" s="459"/>
      <c r="D148" s="458"/>
      <c r="E148" s="460">
        <v>315690.00906999997</v>
      </c>
      <c r="F148" s="460">
        <v>315690.00906999997</v>
      </c>
      <c r="G148" s="460">
        <v>41534.186869999998</v>
      </c>
      <c r="H148" s="460">
        <v>41512.096870000001</v>
      </c>
      <c r="I148" s="461">
        <v>13.15</v>
      </c>
      <c r="J148" s="461"/>
    </row>
    <row r="149" spans="1:10" ht="63.75" hidden="1" outlineLevel="2">
      <c r="A149" s="462" t="s">
        <v>867</v>
      </c>
      <c r="B149" s="463" t="s">
        <v>868</v>
      </c>
      <c r="C149" s="464"/>
      <c r="D149" s="463"/>
      <c r="E149" s="465">
        <v>15490.63984</v>
      </c>
      <c r="F149" s="465">
        <v>15490.63984</v>
      </c>
      <c r="G149" s="465">
        <v>6967.7899100000004</v>
      </c>
      <c r="H149" s="465">
        <v>6967.7899100000004</v>
      </c>
      <c r="I149" s="466">
        <v>44.98</v>
      </c>
      <c r="J149" s="466"/>
    </row>
    <row r="150" spans="1:10" ht="38.25" hidden="1" outlineLevel="3">
      <c r="A150" s="467" t="s">
        <v>869</v>
      </c>
      <c r="B150" s="468" t="s">
        <v>870</v>
      </c>
      <c r="C150" s="469"/>
      <c r="D150" s="468"/>
      <c r="E150" s="470">
        <v>335</v>
      </c>
      <c r="F150" s="470">
        <v>335</v>
      </c>
      <c r="G150" s="470">
        <v>222.839</v>
      </c>
      <c r="H150" s="470">
        <v>222.839</v>
      </c>
      <c r="I150" s="471">
        <v>66.52</v>
      </c>
      <c r="J150" s="471"/>
    </row>
    <row r="151" spans="1:10" ht="38.25" hidden="1" outlineLevel="4">
      <c r="A151" s="472" t="s">
        <v>869</v>
      </c>
      <c r="B151" s="473" t="s">
        <v>870</v>
      </c>
      <c r="C151" s="474" t="s">
        <v>719</v>
      </c>
      <c r="D151" s="473" t="s">
        <v>720</v>
      </c>
      <c r="E151" s="475">
        <v>335</v>
      </c>
      <c r="F151" s="475">
        <v>335</v>
      </c>
      <c r="G151" s="475">
        <v>222.839</v>
      </c>
      <c r="H151" s="475">
        <v>222.839</v>
      </c>
      <c r="I151" s="471">
        <v>66.52</v>
      </c>
      <c r="J151" s="471"/>
    </row>
    <row r="152" spans="1:10" ht="76.5" hidden="1" outlineLevel="3">
      <c r="A152" s="467" t="s">
        <v>717</v>
      </c>
      <c r="B152" s="468" t="s">
        <v>871</v>
      </c>
      <c r="C152" s="469"/>
      <c r="D152" s="468"/>
      <c r="E152" s="470">
        <v>15155.63984</v>
      </c>
      <c r="F152" s="470">
        <v>15155.63984</v>
      </c>
      <c r="G152" s="470">
        <v>6744.9509099999996</v>
      </c>
      <c r="H152" s="470">
        <v>6744.9509099999996</v>
      </c>
      <c r="I152" s="471">
        <v>44.5</v>
      </c>
      <c r="J152" s="471"/>
    </row>
    <row r="153" spans="1:10" ht="76.5" hidden="1" outlineLevel="4">
      <c r="A153" s="472" t="s">
        <v>717</v>
      </c>
      <c r="B153" s="473" t="s">
        <v>871</v>
      </c>
      <c r="C153" s="474" t="s">
        <v>719</v>
      </c>
      <c r="D153" s="473" t="s">
        <v>720</v>
      </c>
      <c r="E153" s="475">
        <v>15155.63984</v>
      </c>
      <c r="F153" s="475">
        <v>15155.63984</v>
      </c>
      <c r="G153" s="475">
        <v>6744.9509099999996</v>
      </c>
      <c r="H153" s="475">
        <v>6744.9509099999996</v>
      </c>
      <c r="I153" s="471">
        <v>44.5</v>
      </c>
      <c r="J153" s="471"/>
    </row>
    <row r="154" spans="1:10" ht="63.75" hidden="1" outlineLevel="2">
      <c r="A154" s="462" t="s">
        <v>872</v>
      </c>
      <c r="B154" s="463" t="s">
        <v>873</v>
      </c>
      <c r="C154" s="464"/>
      <c r="D154" s="463"/>
      <c r="E154" s="465">
        <v>15719.582</v>
      </c>
      <c r="F154" s="465">
        <v>15719.582</v>
      </c>
      <c r="G154" s="465">
        <v>4774.3620199999996</v>
      </c>
      <c r="H154" s="465">
        <v>4774.3620199999996</v>
      </c>
      <c r="I154" s="466">
        <v>30.37</v>
      </c>
      <c r="J154" s="466"/>
    </row>
    <row r="155" spans="1:10" ht="38.25" hidden="1" outlineLevel="3">
      <c r="A155" s="467" t="s">
        <v>869</v>
      </c>
      <c r="B155" s="468" t="s">
        <v>874</v>
      </c>
      <c r="C155" s="469"/>
      <c r="D155" s="468"/>
      <c r="E155" s="470">
        <v>290</v>
      </c>
      <c r="F155" s="470">
        <v>290</v>
      </c>
      <c r="G155" s="470">
        <v>142.37360000000001</v>
      </c>
      <c r="H155" s="470">
        <v>142.37360000000001</v>
      </c>
      <c r="I155" s="471">
        <v>49.09</v>
      </c>
      <c r="J155" s="471"/>
    </row>
    <row r="156" spans="1:10" ht="38.25" hidden="1" outlineLevel="4">
      <c r="A156" s="472" t="s">
        <v>869</v>
      </c>
      <c r="B156" s="473" t="s">
        <v>874</v>
      </c>
      <c r="C156" s="474" t="s">
        <v>719</v>
      </c>
      <c r="D156" s="473" t="s">
        <v>720</v>
      </c>
      <c r="E156" s="475">
        <v>290</v>
      </c>
      <c r="F156" s="475">
        <v>290</v>
      </c>
      <c r="G156" s="475">
        <v>142.37360000000001</v>
      </c>
      <c r="H156" s="475">
        <v>142.37360000000001</v>
      </c>
      <c r="I156" s="471">
        <v>49.09</v>
      </c>
      <c r="J156" s="471"/>
    </row>
    <row r="157" spans="1:10" ht="76.5" hidden="1" outlineLevel="3">
      <c r="A157" s="467" t="s">
        <v>717</v>
      </c>
      <c r="B157" s="468" t="s">
        <v>875</v>
      </c>
      <c r="C157" s="469"/>
      <c r="D157" s="468"/>
      <c r="E157" s="470">
        <v>8908.3359999999993</v>
      </c>
      <c r="F157" s="470">
        <v>8908.3359999999993</v>
      </c>
      <c r="G157" s="470">
        <v>4631.9884199999997</v>
      </c>
      <c r="H157" s="470">
        <v>4631.9884199999997</v>
      </c>
      <c r="I157" s="471">
        <v>52</v>
      </c>
      <c r="J157" s="471"/>
    </row>
    <row r="158" spans="1:10" ht="76.5" hidden="1" outlineLevel="4">
      <c r="A158" s="472" t="s">
        <v>717</v>
      </c>
      <c r="B158" s="473" t="s">
        <v>875</v>
      </c>
      <c r="C158" s="474" t="s">
        <v>719</v>
      </c>
      <c r="D158" s="473" t="s">
        <v>720</v>
      </c>
      <c r="E158" s="475">
        <v>8908.3359999999993</v>
      </c>
      <c r="F158" s="475">
        <v>8908.3359999999993</v>
      </c>
      <c r="G158" s="475">
        <v>4631.9884199999997</v>
      </c>
      <c r="H158" s="475">
        <v>4631.9884199999997</v>
      </c>
      <c r="I158" s="471">
        <v>52</v>
      </c>
      <c r="J158" s="471"/>
    </row>
    <row r="159" spans="1:10" ht="51" hidden="1" outlineLevel="3">
      <c r="A159" s="467" t="s">
        <v>876</v>
      </c>
      <c r="B159" s="468" t="s">
        <v>877</v>
      </c>
      <c r="C159" s="469"/>
      <c r="D159" s="468"/>
      <c r="E159" s="470">
        <v>6521.2460000000001</v>
      </c>
      <c r="F159" s="470">
        <v>6521.2460000000001</v>
      </c>
      <c r="G159" s="470">
        <v>0</v>
      </c>
      <c r="H159" s="470">
        <v>0</v>
      </c>
      <c r="I159" s="471">
        <v>0</v>
      </c>
      <c r="J159" s="471"/>
    </row>
    <row r="160" spans="1:10" ht="51" hidden="1" outlineLevel="4">
      <c r="A160" s="472" t="s">
        <v>876</v>
      </c>
      <c r="B160" s="473" t="s">
        <v>877</v>
      </c>
      <c r="C160" s="474" t="s">
        <v>719</v>
      </c>
      <c r="D160" s="473" t="s">
        <v>720</v>
      </c>
      <c r="E160" s="475">
        <v>6521.2460000000001</v>
      </c>
      <c r="F160" s="475">
        <v>6521.2460000000001</v>
      </c>
      <c r="G160" s="475">
        <v>0</v>
      </c>
      <c r="H160" s="475">
        <v>0</v>
      </c>
      <c r="I160" s="471">
        <v>0</v>
      </c>
      <c r="J160" s="471"/>
    </row>
    <row r="161" spans="1:10" ht="63.75" hidden="1" outlineLevel="2">
      <c r="A161" s="462" t="s">
        <v>878</v>
      </c>
      <c r="B161" s="463" t="s">
        <v>879</v>
      </c>
      <c r="C161" s="464"/>
      <c r="D161" s="463"/>
      <c r="E161" s="465">
        <v>284479.78723000002</v>
      </c>
      <c r="F161" s="465">
        <v>284479.78723000002</v>
      </c>
      <c r="G161" s="465">
        <v>29792.034940000001</v>
      </c>
      <c r="H161" s="465">
        <v>29769.944940000001</v>
      </c>
      <c r="I161" s="466">
        <v>10.46</v>
      </c>
      <c r="J161" s="466"/>
    </row>
    <row r="162" spans="1:10" ht="51" hidden="1" outlineLevel="3">
      <c r="A162" s="467" t="s">
        <v>880</v>
      </c>
      <c r="B162" s="468" t="s">
        <v>881</v>
      </c>
      <c r="C162" s="469"/>
      <c r="D162" s="468"/>
      <c r="E162" s="470">
        <v>21250</v>
      </c>
      <c r="F162" s="470">
        <v>21250</v>
      </c>
      <c r="G162" s="470">
        <v>5557.2</v>
      </c>
      <c r="H162" s="470">
        <v>5557.2</v>
      </c>
      <c r="I162" s="471">
        <v>26.15</v>
      </c>
      <c r="J162" s="471"/>
    </row>
    <row r="163" spans="1:10" ht="51" hidden="1" outlineLevel="4">
      <c r="A163" s="472" t="s">
        <v>880</v>
      </c>
      <c r="B163" s="473" t="s">
        <v>881</v>
      </c>
      <c r="C163" s="474" t="s">
        <v>719</v>
      </c>
      <c r="D163" s="473" t="s">
        <v>720</v>
      </c>
      <c r="E163" s="475">
        <v>21250</v>
      </c>
      <c r="F163" s="475">
        <v>21250</v>
      </c>
      <c r="G163" s="475">
        <v>5557.2</v>
      </c>
      <c r="H163" s="475">
        <v>5557.2</v>
      </c>
      <c r="I163" s="471">
        <v>26.15</v>
      </c>
      <c r="J163" s="471"/>
    </row>
    <row r="164" spans="1:10" ht="63.75" hidden="1" outlineLevel="3">
      <c r="A164" s="467" t="s">
        <v>882</v>
      </c>
      <c r="B164" s="468" t="s">
        <v>883</v>
      </c>
      <c r="C164" s="469"/>
      <c r="D164" s="468"/>
      <c r="E164" s="470">
        <v>263229.78723000002</v>
      </c>
      <c r="F164" s="470">
        <v>263229.78723000002</v>
      </c>
      <c r="G164" s="470">
        <v>24234.834940000001</v>
      </c>
      <c r="H164" s="470">
        <v>24212.74494</v>
      </c>
      <c r="I164" s="471">
        <v>9.1999999999999993</v>
      </c>
      <c r="J164" s="471"/>
    </row>
    <row r="165" spans="1:10" ht="63.75" hidden="1" outlineLevel="4">
      <c r="A165" s="472" t="s">
        <v>882</v>
      </c>
      <c r="B165" s="473" t="s">
        <v>883</v>
      </c>
      <c r="C165" s="474" t="s">
        <v>719</v>
      </c>
      <c r="D165" s="473" t="s">
        <v>720</v>
      </c>
      <c r="E165" s="475">
        <v>263229.78723000002</v>
      </c>
      <c r="F165" s="475">
        <v>263229.78723000002</v>
      </c>
      <c r="G165" s="475">
        <v>24234.834940000001</v>
      </c>
      <c r="H165" s="475">
        <v>24212.74494</v>
      </c>
      <c r="I165" s="471">
        <v>9.1999999999999993</v>
      </c>
      <c r="J165" s="476" t="s">
        <v>10</v>
      </c>
    </row>
    <row r="166" spans="1:10" ht="51" hidden="1" outlineLevel="1">
      <c r="A166" s="457" t="s">
        <v>884</v>
      </c>
      <c r="B166" s="458" t="s">
        <v>885</v>
      </c>
      <c r="C166" s="459"/>
      <c r="D166" s="458"/>
      <c r="E166" s="460">
        <v>7192280.5408500005</v>
      </c>
      <c r="F166" s="460">
        <v>7192280.5408500005</v>
      </c>
      <c r="G166" s="460">
        <v>3580459.0164600001</v>
      </c>
      <c r="H166" s="460">
        <v>3578103.2645200002</v>
      </c>
      <c r="I166" s="461">
        <v>49.75</v>
      </c>
      <c r="J166" s="461"/>
    </row>
    <row r="167" spans="1:10" ht="127.5" hidden="1" outlineLevel="2">
      <c r="A167" s="462" t="s">
        <v>886</v>
      </c>
      <c r="B167" s="463" t="s">
        <v>887</v>
      </c>
      <c r="C167" s="464"/>
      <c r="D167" s="463"/>
      <c r="E167" s="465">
        <v>601727.94085000001</v>
      </c>
      <c r="F167" s="465">
        <v>601727.94085000001</v>
      </c>
      <c r="G167" s="465">
        <v>277582.66246000002</v>
      </c>
      <c r="H167" s="465">
        <v>275436.27784</v>
      </c>
      <c r="I167" s="466">
        <v>45.77</v>
      </c>
      <c r="J167" s="466"/>
    </row>
    <row r="168" spans="1:10" ht="25.5" hidden="1" outlineLevel="3">
      <c r="A168" s="467" t="s">
        <v>888</v>
      </c>
      <c r="B168" s="468" t="s">
        <v>889</v>
      </c>
      <c r="C168" s="469"/>
      <c r="D168" s="468"/>
      <c r="E168" s="470">
        <v>113463.90364</v>
      </c>
      <c r="F168" s="470">
        <v>113463.90364</v>
      </c>
      <c r="G168" s="470">
        <v>53931.055059999999</v>
      </c>
      <c r="H168" s="470">
        <v>51879.140290000003</v>
      </c>
      <c r="I168" s="471">
        <v>45.72</v>
      </c>
      <c r="J168" s="471"/>
    </row>
    <row r="169" spans="1:10" ht="25.5" hidden="1" outlineLevel="4">
      <c r="A169" s="472" t="s">
        <v>888</v>
      </c>
      <c r="B169" s="473" t="s">
        <v>889</v>
      </c>
      <c r="C169" s="474" t="s">
        <v>719</v>
      </c>
      <c r="D169" s="473" t="s">
        <v>720</v>
      </c>
      <c r="E169" s="475">
        <v>113463.90364</v>
      </c>
      <c r="F169" s="475">
        <v>113463.90364</v>
      </c>
      <c r="G169" s="475">
        <v>53931.055059999999</v>
      </c>
      <c r="H169" s="475">
        <v>51879.140290000003</v>
      </c>
      <c r="I169" s="471">
        <v>45.72</v>
      </c>
      <c r="J169" s="471"/>
    </row>
    <row r="170" spans="1:10" ht="38.25" hidden="1" outlineLevel="3">
      <c r="A170" s="467" t="s">
        <v>869</v>
      </c>
      <c r="B170" s="468" t="s">
        <v>890</v>
      </c>
      <c r="C170" s="469"/>
      <c r="D170" s="468"/>
      <c r="E170" s="470">
        <v>2411.5055600000001</v>
      </c>
      <c r="F170" s="470">
        <v>2411.5055600000001</v>
      </c>
      <c r="G170" s="470">
        <v>687.96569</v>
      </c>
      <c r="H170" s="470">
        <v>678.49584000000004</v>
      </c>
      <c r="I170" s="471">
        <v>28.14</v>
      </c>
      <c r="J170" s="471"/>
    </row>
    <row r="171" spans="1:10" ht="38.25" hidden="1" outlineLevel="4">
      <c r="A171" s="472" t="s">
        <v>869</v>
      </c>
      <c r="B171" s="473" t="s">
        <v>890</v>
      </c>
      <c r="C171" s="474" t="s">
        <v>719</v>
      </c>
      <c r="D171" s="473" t="s">
        <v>720</v>
      </c>
      <c r="E171" s="475">
        <v>2411.5055600000001</v>
      </c>
      <c r="F171" s="475">
        <v>2411.5055600000001</v>
      </c>
      <c r="G171" s="475">
        <v>687.96569</v>
      </c>
      <c r="H171" s="475">
        <v>678.49584000000004</v>
      </c>
      <c r="I171" s="471">
        <v>28.14</v>
      </c>
      <c r="J171" s="471"/>
    </row>
    <row r="172" spans="1:10" ht="76.5" hidden="1" outlineLevel="3">
      <c r="A172" s="467" t="s">
        <v>717</v>
      </c>
      <c r="B172" s="468" t="s">
        <v>891</v>
      </c>
      <c r="C172" s="469"/>
      <c r="D172" s="468"/>
      <c r="E172" s="470">
        <v>484929.40865</v>
      </c>
      <c r="F172" s="470">
        <v>484929.40865</v>
      </c>
      <c r="G172" s="470">
        <v>222733.97286000001</v>
      </c>
      <c r="H172" s="470">
        <v>222733.97286000001</v>
      </c>
      <c r="I172" s="471">
        <v>45.93</v>
      </c>
      <c r="J172" s="471"/>
    </row>
    <row r="173" spans="1:10" ht="76.5" hidden="1" outlineLevel="4">
      <c r="A173" s="472" t="s">
        <v>717</v>
      </c>
      <c r="B173" s="473" t="s">
        <v>891</v>
      </c>
      <c r="C173" s="474" t="s">
        <v>719</v>
      </c>
      <c r="D173" s="473" t="s">
        <v>720</v>
      </c>
      <c r="E173" s="475">
        <v>484929.40865</v>
      </c>
      <c r="F173" s="475">
        <v>484929.40865</v>
      </c>
      <c r="G173" s="475">
        <v>222733.97286000001</v>
      </c>
      <c r="H173" s="475">
        <v>222733.97286000001</v>
      </c>
      <c r="I173" s="471">
        <v>45.93</v>
      </c>
      <c r="J173" s="471"/>
    </row>
    <row r="174" spans="1:10" ht="63.75" hidden="1" outlineLevel="3">
      <c r="A174" s="467" t="s">
        <v>62</v>
      </c>
      <c r="B174" s="468" t="s">
        <v>892</v>
      </c>
      <c r="C174" s="469"/>
      <c r="D174" s="468"/>
      <c r="E174" s="470">
        <v>873.12300000000005</v>
      </c>
      <c r="F174" s="470">
        <v>873.12300000000005</v>
      </c>
      <c r="G174" s="470">
        <v>229.66884999999999</v>
      </c>
      <c r="H174" s="470">
        <v>144.66884999999999</v>
      </c>
      <c r="I174" s="471">
        <v>16.57</v>
      </c>
      <c r="J174" s="471"/>
    </row>
    <row r="175" spans="1:10" ht="63.75" hidden="1" outlineLevel="4">
      <c r="A175" s="472" t="s">
        <v>62</v>
      </c>
      <c r="B175" s="473" t="s">
        <v>892</v>
      </c>
      <c r="C175" s="474" t="s">
        <v>719</v>
      </c>
      <c r="D175" s="473" t="s">
        <v>720</v>
      </c>
      <c r="E175" s="475">
        <v>873.12300000000005</v>
      </c>
      <c r="F175" s="475">
        <v>873.12300000000005</v>
      </c>
      <c r="G175" s="475">
        <v>229.66884999999999</v>
      </c>
      <c r="H175" s="475">
        <v>144.66884999999999</v>
      </c>
      <c r="I175" s="471">
        <v>16.57</v>
      </c>
      <c r="J175" s="471"/>
    </row>
    <row r="176" spans="1:10" ht="25.5" hidden="1" outlineLevel="3">
      <c r="A176" s="467" t="s">
        <v>728</v>
      </c>
      <c r="B176" s="468" t="s">
        <v>893</v>
      </c>
      <c r="C176" s="469"/>
      <c r="D176" s="468"/>
      <c r="E176" s="470">
        <v>50</v>
      </c>
      <c r="F176" s="470">
        <v>50</v>
      </c>
      <c r="G176" s="470">
        <v>0</v>
      </c>
      <c r="H176" s="470">
        <v>0</v>
      </c>
      <c r="I176" s="471">
        <v>0</v>
      </c>
      <c r="J176" s="471"/>
    </row>
    <row r="177" spans="1:10" ht="25.5" hidden="1" outlineLevel="4">
      <c r="A177" s="472" t="s">
        <v>728</v>
      </c>
      <c r="B177" s="473" t="s">
        <v>893</v>
      </c>
      <c r="C177" s="474" t="s">
        <v>719</v>
      </c>
      <c r="D177" s="473" t="s">
        <v>720</v>
      </c>
      <c r="E177" s="475">
        <v>50</v>
      </c>
      <c r="F177" s="475">
        <v>50</v>
      </c>
      <c r="G177" s="475">
        <v>0</v>
      </c>
      <c r="H177" s="475">
        <v>0</v>
      </c>
      <c r="I177" s="471">
        <v>0</v>
      </c>
      <c r="J177" s="471"/>
    </row>
    <row r="178" spans="1:10" ht="89.25" hidden="1" outlineLevel="2">
      <c r="A178" s="462" t="s">
        <v>894</v>
      </c>
      <c r="B178" s="463" t="s">
        <v>895</v>
      </c>
      <c r="C178" s="464"/>
      <c r="D178" s="463"/>
      <c r="E178" s="465">
        <v>6589052.5</v>
      </c>
      <c r="F178" s="465">
        <v>6589052.5</v>
      </c>
      <c r="G178" s="465">
        <v>3301526.2540000002</v>
      </c>
      <c r="H178" s="465">
        <v>3301526.2540000002</v>
      </c>
      <c r="I178" s="466">
        <v>50.11</v>
      </c>
      <c r="J178" s="466"/>
    </row>
    <row r="179" spans="1:10" ht="38.25" hidden="1" outlineLevel="3">
      <c r="A179" s="467" t="s">
        <v>896</v>
      </c>
      <c r="B179" s="468" t="s">
        <v>897</v>
      </c>
      <c r="C179" s="469"/>
      <c r="D179" s="468"/>
      <c r="E179" s="470">
        <v>6089674.0999999996</v>
      </c>
      <c r="F179" s="470">
        <v>6089674.0999999996</v>
      </c>
      <c r="G179" s="470">
        <v>3044837.0520000001</v>
      </c>
      <c r="H179" s="470">
        <v>3044837.0520000001</v>
      </c>
      <c r="I179" s="471">
        <v>50</v>
      </c>
      <c r="J179" s="471"/>
    </row>
    <row r="180" spans="1:10" ht="38.25" hidden="1" outlineLevel="4">
      <c r="A180" s="472" t="s">
        <v>896</v>
      </c>
      <c r="B180" s="473" t="s">
        <v>897</v>
      </c>
      <c r="C180" s="474" t="s">
        <v>719</v>
      </c>
      <c r="D180" s="473" t="s">
        <v>720</v>
      </c>
      <c r="E180" s="475">
        <v>6089674.0999999996</v>
      </c>
      <c r="F180" s="475">
        <v>6089674.0999999996</v>
      </c>
      <c r="G180" s="475">
        <v>3044837.0520000001</v>
      </c>
      <c r="H180" s="475">
        <v>3044837.0520000001</v>
      </c>
      <c r="I180" s="471">
        <v>50</v>
      </c>
      <c r="J180" s="471"/>
    </row>
    <row r="181" spans="1:10" ht="63.75" hidden="1" outlineLevel="3">
      <c r="A181" s="467" t="s">
        <v>898</v>
      </c>
      <c r="B181" s="468" t="s">
        <v>899</v>
      </c>
      <c r="C181" s="469"/>
      <c r="D181" s="468"/>
      <c r="E181" s="470">
        <v>499378.4</v>
      </c>
      <c r="F181" s="470">
        <v>499378.4</v>
      </c>
      <c r="G181" s="470">
        <v>256689.20199999999</v>
      </c>
      <c r="H181" s="470">
        <v>256689.20199999999</v>
      </c>
      <c r="I181" s="471">
        <v>51.4</v>
      </c>
      <c r="J181" s="471"/>
    </row>
    <row r="182" spans="1:10" ht="63.75" hidden="1" outlineLevel="4">
      <c r="A182" s="472" t="s">
        <v>898</v>
      </c>
      <c r="B182" s="473" t="s">
        <v>899</v>
      </c>
      <c r="C182" s="474" t="s">
        <v>719</v>
      </c>
      <c r="D182" s="473" t="s">
        <v>720</v>
      </c>
      <c r="E182" s="475">
        <v>499378.4</v>
      </c>
      <c r="F182" s="475">
        <v>499378.4</v>
      </c>
      <c r="G182" s="475">
        <v>256689.20199999999</v>
      </c>
      <c r="H182" s="475">
        <v>256689.20199999999</v>
      </c>
      <c r="I182" s="471">
        <v>51.4</v>
      </c>
      <c r="J182" s="471"/>
    </row>
    <row r="183" spans="1:10" ht="76.5" hidden="1" outlineLevel="2">
      <c r="A183" s="462" t="s">
        <v>900</v>
      </c>
      <c r="B183" s="463" t="s">
        <v>901</v>
      </c>
      <c r="C183" s="464"/>
      <c r="D183" s="463"/>
      <c r="E183" s="465">
        <v>1500.1</v>
      </c>
      <c r="F183" s="465">
        <v>1500.1</v>
      </c>
      <c r="G183" s="465">
        <v>1350.1</v>
      </c>
      <c r="H183" s="465">
        <v>1140.7326800000001</v>
      </c>
      <c r="I183" s="466">
        <v>76.040000000000006</v>
      </c>
      <c r="J183" s="466"/>
    </row>
    <row r="184" spans="1:10" ht="102" hidden="1" outlineLevel="3">
      <c r="A184" s="467" t="s">
        <v>902</v>
      </c>
      <c r="B184" s="468" t="s">
        <v>903</v>
      </c>
      <c r="C184" s="469"/>
      <c r="D184" s="468"/>
      <c r="E184" s="470">
        <v>1500.1</v>
      </c>
      <c r="F184" s="470">
        <v>1500.1</v>
      </c>
      <c r="G184" s="470">
        <v>1350.1</v>
      </c>
      <c r="H184" s="470">
        <v>1140.7326800000001</v>
      </c>
      <c r="I184" s="471">
        <v>76.040000000000006</v>
      </c>
      <c r="J184" s="471"/>
    </row>
    <row r="185" spans="1:10" ht="102" hidden="1" outlineLevel="4">
      <c r="A185" s="472" t="s">
        <v>902</v>
      </c>
      <c r="B185" s="473" t="s">
        <v>903</v>
      </c>
      <c r="C185" s="474" t="s">
        <v>719</v>
      </c>
      <c r="D185" s="473" t="s">
        <v>720</v>
      </c>
      <c r="E185" s="475">
        <v>1500.1</v>
      </c>
      <c r="F185" s="475">
        <v>1500.1</v>
      </c>
      <c r="G185" s="475">
        <v>1350.1</v>
      </c>
      <c r="H185" s="475">
        <v>1140.7326800000001</v>
      </c>
      <c r="I185" s="471">
        <v>76.040000000000006</v>
      </c>
      <c r="J185" s="476" t="s">
        <v>10</v>
      </c>
    </row>
    <row r="186" spans="1:10" ht="30.75" collapsed="1" thickBot="1">
      <c r="A186" s="452" t="s">
        <v>904</v>
      </c>
      <c r="B186" s="453" t="s">
        <v>905</v>
      </c>
      <c r="C186" s="454"/>
      <c r="D186" s="453"/>
      <c r="E186" s="455">
        <v>19268801.064709999</v>
      </c>
      <c r="F186" s="455">
        <v>19113468.706440002</v>
      </c>
      <c r="G186" s="455">
        <v>10301095.13415</v>
      </c>
      <c r="H186" s="455">
        <v>10227345.43182</v>
      </c>
      <c r="I186" s="456">
        <v>53.08</v>
      </c>
      <c r="J186" s="456"/>
    </row>
    <row r="187" spans="1:10" ht="25.5" hidden="1" outlineLevel="1">
      <c r="A187" s="457" t="s">
        <v>906</v>
      </c>
      <c r="B187" s="458" t="s">
        <v>907</v>
      </c>
      <c r="C187" s="459"/>
      <c r="D187" s="458"/>
      <c r="E187" s="460">
        <v>1822758.77947</v>
      </c>
      <c r="F187" s="460">
        <v>1822758.77947</v>
      </c>
      <c r="G187" s="460">
        <v>1064802.6754600001</v>
      </c>
      <c r="H187" s="460">
        <v>1064802.6754600001</v>
      </c>
      <c r="I187" s="461">
        <v>58.42</v>
      </c>
      <c r="J187" s="461"/>
    </row>
    <row r="188" spans="1:10" ht="102" hidden="1" outlineLevel="2">
      <c r="A188" s="462" t="s">
        <v>908</v>
      </c>
      <c r="B188" s="463" t="s">
        <v>909</v>
      </c>
      <c r="C188" s="464"/>
      <c r="D188" s="463"/>
      <c r="E188" s="465">
        <v>1698568.02144</v>
      </c>
      <c r="F188" s="465">
        <v>1698568.02144</v>
      </c>
      <c r="G188" s="465">
        <v>1005880.89721</v>
      </c>
      <c r="H188" s="465">
        <v>1005880.89721</v>
      </c>
      <c r="I188" s="466">
        <v>59.22</v>
      </c>
      <c r="J188" s="466"/>
    </row>
    <row r="189" spans="1:10" ht="76.5" hidden="1" outlineLevel="3">
      <c r="A189" s="467" t="s">
        <v>717</v>
      </c>
      <c r="B189" s="468" t="s">
        <v>910</v>
      </c>
      <c r="C189" s="469"/>
      <c r="D189" s="468"/>
      <c r="E189" s="470">
        <v>1567771.9450000001</v>
      </c>
      <c r="F189" s="470">
        <v>1567771.9450000001</v>
      </c>
      <c r="G189" s="470">
        <v>930678.35750000004</v>
      </c>
      <c r="H189" s="470">
        <v>930678.35750000004</v>
      </c>
      <c r="I189" s="471">
        <v>59.36</v>
      </c>
      <c r="J189" s="471"/>
    </row>
    <row r="190" spans="1:10" ht="76.5" hidden="1" outlineLevel="4">
      <c r="A190" s="472" t="s">
        <v>717</v>
      </c>
      <c r="B190" s="473" t="s">
        <v>910</v>
      </c>
      <c r="C190" s="474" t="s">
        <v>911</v>
      </c>
      <c r="D190" s="473" t="s">
        <v>912</v>
      </c>
      <c r="E190" s="475">
        <v>102038.40300000001</v>
      </c>
      <c r="F190" s="475">
        <v>102038.40300000001</v>
      </c>
      <c r="G190" s="475">
        <v>62500</v>
      </c>
      <c r="H190" s="475">
        <v>62500</v>
      </c>
      <c r="I190" s="471">
        <v>61.25</v>
      </c>
      <c r="J190" s="471"/>
    </row>
    <row r="191" spans="1:10" ht="76.5" hidden="1" outlineLevel="4">
      <c r="A191" s="472" t="s">
        <v>717</v>
      </c>
      <c r="B191" s="473" t="s">
        <v>910</v>
      </c>
      <c r="C191" s="474" t="s">
        <v>726</v>
      </c>
      <c r="D191" s="473" t="s">
        <v>727</v>
      </c>
      <c r="E191" s="475">
        <v>1465733.5419999999</v>
      </c>
      <c r="F191" s="475">
        <v>1465733.5419999999</v>
      </c>
      <c r="G191" s="475">
        <v>868178.35750000004</v>
      </c>
      <c r="H191" s="475">
        <v>868178.35750000004</v>
      </c>
      <c r="I191" s="471">
        <v>59.23</v>
      </c>
      <c r="J191" s="471"/>
    </row>
    <row r="192" spans="1:10" ht="140.25" hidden="1" outlineLevel="3">
      <c r="A192" s="467" t="s">
        <v>857</v>
      </c>
      <c r="B192" s="468" t="s">
        <v>913</v>
      </c>
      <c r="C192" s="469"/>
      <c r="D192" s="468"/>
      <c r="E192" s="470">
        <v>3459.3877299999999</v>
      </c>
      <c r="F192" s="470">
        <v>3459.3877299999999</v>
      </c>
      <c r="G192" s="470">
        <v>1328.91794</v>
      </c>
      <c r="H192" s="470">
        <v>1328.91794</v>
      </c>
      <c r="I192" s="471">
        <v>38.409999999999997</v>
      </c>
      <c r="J192" s="471"/>
    </row>
    <row r="193" spans="1:10" ht="140.25" hidden="1" outlineLevel="4">
      <c r="A193" s="472" t="s">
        <v>857</v>
      </c>
      <c r="B193" s="473" t="s">
        <v>913</v>
      </c>
      <c r="C193" s="474" t="s">
        <v>726</v>
      </c>
      <c r="D193" s="473" t="s">
        <v>727</v>
      </c>
      <c r="E193" s="475">
        <v>3459.3877299999999</v>
      </c>
      <c r="F193" s="475">
        <v>3459.3877299999999</v>
      </c>
      <c r="G193" s="475">
        <v>1328.91794</v>
      </c>
      <c r="H193" s="475">
        <v>1328.91794</v>
      </c>
      <c r="I193" s="471">
        <v>38.409999999999997</v>
      </c>
      <c r="J193" s="471"/>
    </row>
    <row r="194" spans="1:10" ht="140.25" hidden="1" outlineLevel="3">
      <c r="A194" s="467" t="s">
        <v>859</v>
      </c>
      <c r="B194" s="468" t="s">
        <v>914</v>
      </c>
      <c r="C194" s="469"/>
      <c r="D194" s="468"/>
      <c r="E194" s="470">
        <v>1577.57671</v>
      </c>
      <c r="F194" s="470">
        <v>1577.57671</v>
      </c>
      <c r="G194" s="470">
        <v>697.84078</v>
      </c>
      <c r="H194" s="470">
        <v>697.84078</v>
      </c>
      <c r="I194" s="471">
        <v>44.23</v>
      </c>
      <c r="J194" s="471"/>
    </row>
    <row r="195" spans="1:10" ht="140.25" hidden="1" outlineLevel="4">
      <c r="A195" s="472" t="s">
        <v>859</v>
      </c>
      <c r="B195" s="473" t="s">
        <v>914</v>
      </c>
      <c r="C195" s="474" t="s">
        <v>726</v>
      </c>
      <c r="D195" s="473" t="s">
        <v>727</v>
      </c>
      <c r="E195" s="475">
        <v>1577.57671</v>
      </c>
      <c r="F195" s="475">
        <v>1577.57671</v>
      </c>
      <c r="G195" s="475">
        <v>697.84078</v>
      </c>
      <c r="H195" s="475">
        <v>697.84078</v>
      </c>
      <c r="I195" s="471">
        <v>44.23</v>
      </c>
      <c r="J195" s="471"/>
    </row>
    <row r="196" spans="1:10" ht="51" hidden="1" outlineLevel="3">
      <c r="A196" s="467" t="s">
        <v>915</v>
      </c>
      <c r="B196" s="468" t="s">
        <v>916</v>
      </c>
      <c r="C196" s="469"/>
      <c r="D196" s="468"/>
      <c r="E196" s="470">
        <v>108715.912</v>
      </c>
      <c r="F196" s="470">
        <v>108715.912</v>
      </c>
      <c r="G196" s="470">
        <v>57182.910320000003</v>
      </c>
      <c r="H196" s="470">
        <v>57182.910320000003</v>
      </c>
      <c r="I196" s="471">
        <v>52.6</v>
      </c>
      <c r="J196" s="471"/>
    </row>
    <row r="197" spans="1:10" ht="51" hidden="1" outlineLevel="4">
      <c r="A197" s="472" t="s">
        <v>915</v>
      </c>
      <c r="B197" s="473" t="s">
        <v>916</v>
      </c>
      <c r="C197" s="474" t="s">
        <v>911</v>
      </c>
      <c r="D197" s="473" t="s">
        <v>912</v>
      </c>
      <c r="E197" s="475">
        <v>2724.1</v>
      </c>
      <c r="F197" s="475">
        <v>2724.1</v>
      </c>
      <c r="G197" s="475">
        <v>1440</v>
      </c>
      <c r="H197" s="475">
        <v>1440</v>
      </c>
      <c r="I197" s="471">
        <v>52.86</v>
      </c>
      <c r="J197" s="471"/>
    </row>
    <row r="198" spans="1:10" ht="51" hidden="1" outlineLevel="4">
      <c r="A198" s="472" t="s">
        <v>915</v>
      </c>
      <c r="B198" s="473" t="s">
        <v>916</v>
      </c>
      <c r="C198" s="474" t="s">
        <v>726</v>
      </c>
      <c r="D198" s="473" t="s">
        <v>727</v>
      </c>
      <c r="E198" s="475">
        <v>105991.81200000001</v>
      </c>
      <c r="F198" s="475">
        <v>105991.81200000001</v>
      </c>
      <c r="G198" s="475">
        <v>55742.910320000003</v>
      </c>
      <c r="H198" s="475">
        <v>55742.910320000003</v>
      </c>
      <c r="I198" s="471">
        <v>52.59</v>
      </c>
      <c r="J198" s="471"/>
    </row>
    <row r="199" spans="1:10" ht="25.5" hidden="1" outlineLevel="3">
      <c r="A199" s="467" t="s">
        <v>728</v>
      </c>
      <c r="B199" s="468" t="s">
        <v>917</v>
      </c>
      <c r="C199" s="469"/>
      <c r="D199" s="468"/>
      <c r="E199" s="470">
        <v>17043.2</v>
      </c>
      <c r="F199" s="470">
        <v>17043.2</v>
      </c>
      <c r="G199" s="470">
        <v>15992.87067</v>
      </c>
      <c r="H199" s="470">
        <v>15992.87067</v>
      </c>
      <c r="I199" s="471">
        <v>93.84</v>
      </c>
      <c r="J199" s="471"/>
    </row>
    <row r="200" spans="1:10" ht="25.5" hidden="1" outlineLevel="4">
      <c r="A200" s="472" t="s">
        <v>728</v>
      </c>
      <c r="B200" s="473" t="s">
        <v>917</v>
      </c>
      <c r="C200" s="474" t="s">
        <v>726</v>
      </c>
      <c r="D200" s="473" t="s">
        <v>727</v>
      </c>
      <c r="E200" s="475">
        <v>17043.2</v>
      </c>
      <c r="F200" s="475">
        <v>17043.2</v>
      </c>
      <c r="G200" s="475">
        <v>15992.87067</v>
      </c>
      <c r="H200" s="475">
        <v>15992.87067</v>
      </c>
      <c r="I200" s="471">
        <v>93.84</v>
      </c>
      <c r="J200" s="471"/>
    </row>
    <row r="201" spans="1:10" ht="63.75" hidden="1" outlineLevel="2">
      <c r="A201" s="462" t="s">
        <v>918</v>
      </c>
      <c r="B201" s="463" t="s">
        <v>919</v>
      </c>
      <c r="C201" s="464"/>
      <c r="D201" s="463"/>
      <c r="E201" s="465">
        <v>92057</v>
      </c>
      <c r="F201" s="465">
        <v>92057</v>
      </c>
      <c r="G201" s="465">
        <v>50669.839979999997</v>
      </c>
      <c r="H201" s="465">
        <v>50669.839979999997</v>
      </c>
      <c r="I201" s="466">
        <v>55.04</v>
      </c>
      <c r="J201" s="466"/>
    </row>
    <row r="202" spans="1:10" ht="76.5" hidden="1" outlineLevel="3">
      <c r="A202" s="467" t="s">
        <v>717</v>
      </c>
      <c r="B202" s="468" t="s">
        <v>920</v>
      </c>
      <c r="C202" s="469"/>
      <c r="D202" s="468"/>
      <c r="E202" s="470">
        <v>89757</v>
      </c>
      <c r="F202" s="470">
        <v>89757</v>
      </c>
      <c r="G202" s="470">
        <v>50669.839979999997</v>
      </c>
      <c r="H202" s="470">
        <v>50669.839979999997</v>
      </c>
      <c r="I202" s="471">
        <v>56.45</v>
      </c>
      <c r="J202" s="471"/>
    </row>
    <row r="203" spans="1:10" ht="76.5" hidden="1" outlineLevel="4">
      <c r="A203" s="472" t="s">
        <v>717</v>
      </c>
      <c r="B203" s="473" t="s">
        <v>920</v>
      </c>
      <c r="C203" s="474" t="s">
        <v>726</v>
      </c>
      <c r="D203" s="473" t="s">
        <v>727</v>
      </c>
      <c r="E203" s="475">
        <v>89757</v>
      </c>
      <c r="F203" s="475">
        <v>89757</v>
      </c>
      <c r="G203" s="475">
        <v>50669.839979999997</v>
      </c>
      <c r="H203" s="475">
        <v>50669.839979999997</v>
      </c>
      <c r="I203" s="471">
        <v>56.45</v>
      </c>
      <c r="J203" s="471"/>
    </row>
    <row r="204" spans="1:10" ht="25.5" hidden="1" outlineLevel="3">
      <c r="A204" s="467" t="s">
        <v>728</v>
      </c>
      <c r="B204" s="468" t="s">
        <v>921</v>
      </c>
      <c r="C204" s="469"/>
      <c r="D204" s="468"/>
      <c r="E204" s="470">
        <v>2300</v>
      </c>
      <c r="F204" s="470">
        <v>2300</v>
      </c>
      <c r="G204" s="470">
        <v>0</v>
      </c>
      <c r="H204" s="470">
        <v>0</v>
      </c>
      <c r="I204" s="471">
        <v>0</v>
      </c>
      <c r="J204" s="471"/>
    </row>
    <row r="205" spans="1:10" ht="25.5" hidden="1" outlineLevel="4">
      <c r="A205" s="472" t="s">
        <v>728</v>
      </c>
      <c r="B205" s="473" t="s">
        <v>921</v>
      </c>
      <c r="C205" s="474" t="s">
        <v>726</v>
      </c>
      <c r="D205" s="473" t="s">
        <v>727</v>
      </c>
      <c r="E205" s="475">
        <v>2300</v>
      </c>
      <c r="F205" s="475">
        <v>2300</v>
      </c>
      <c r="G205" s="475">
        <v>0</v>
      </c>
      <c r="H205" s="475">
        <v>0</v>
      </c>
      <c r="I205" s="471">
        <v>0</v>
      </c>
      <c r="J205" s="471"/>
    </row>
    <row r="206" spans="1:10" ht="102" hidden="1" outlineLevel="2">
      <c r="A206" s="462" t="s">
        <v>922</v>
      </c>
      <c r="B206" s="463" t="s">
        <v>923</v>
      </c>
      <c r="C206" s="464"/>
      <c r="D206" s="463"/>
      <c r="E206" s="465">
        <v>25133.758030000001</v>
      </c>
      <c r="F206" s="465">
        <v>25133.758030000001</v>
      </c>
      <c r="G206" s="465">
        <v>2406.5011</v>
      </c>
      <c r="H206" s="465">
        <v>2406.5011</v>
      </c>
      <c r="I206" s="466">
        <v>9.57</v>
      </c>
      <c r="J206" s="466"/>
    </row>
    <row r="207" spans="1:10" ht="76.5" hidden="1" outlineLevel="3">
      <c r="A207" s="467" t="s">
        <v>717</v>
      </c>
      <c r="B207" s="468" t="s">
        <v>924</v>
      </c>
      <c r="C207" s="469"/>
      <c r="D207" s="468"/>
      <c r="E207" s="470">
        <v>12477.42</v>
      </c>
      <c r="F207" s="470">
        <v>12477.42</v>
      </c>
      <c r="G207" s="470">
        <v>119.1011</v>
      </c>
      <c r="H207" s="470">
        <v>119.1011</v>
      </c>
      <c r="I207" s="471">
        <v>0.95</v>
      </c>
      <c r="J207" s="471"/>
    </row>
    <row r="208" spans="1:10" ht="76.5" hidden="1" outlineLevel="4">
      <c r="A208" s="472" t="s">
        <v>717</v>
      </c>
      <c r="B208" s="473" t="s">
        <v>924</v>
      </c>
      <c r="C208" s="474" t="s">
        <v>726</v>
      </c>
      <c r="D208" s="473" t="s">
        <v>727</v>
      </c>
      <c r="E208" s="475">
        <v>12477.42</v>
      </c>
      <c r="F208" s="475">
        <v>12477.42</v>
      </c>
      <c r="G208" s="475">
        <v>119.1011</v>
      </c>
      <c r="H208" s="475">
        <v>119.1011</v>
      </c>
      <c r="I208" s="471">
        <v>0.95</v>
      </c>
      <c r="J208" s="471"/>
    </row>
    <row r="209" spans="1:10" ht="38.25" hidden="1" outlineLevel="3">
      <c r="A209" s="467" t="s">
        <v>925</v>
      </c>
      <c r="B209" s="468" t="s">
        <v>926</v>
      </c>
      <c r="C209" s="469"/>
      <c r="D209" s="468"/>
      <c r="E209" s="470">
        <v>12656.338030000001</v>
      </c>
      <c r="F209" s="470">
        <v>12656.338030000001</v>
      </c>
      <c r="G209" s="470">
        <v>2287.4</v>
      </c>
      <c r="H209" s="470">
        <v>2287.4</v>
      </c>
      <c r="I209" s="471">
        <v>18.07</v>
      </c>
      <c r="J209" s="471"/>
    </row>
    <row r="210" spans="1:10" ht="38.25" hidden="1" outlineLevel="4">
      <c r="A210" s="472" t="s">
        <v>925</v>
      </c>
      <c r="B210" s="473" t="s">
        <v>926</v>
      </c>
      <c r="C210" s="474" t="s">
        <v>726</v>
      </c>
      <c r="D210" s="473" t="s">
        <v>727</v>
      </c>
      <c r="E210" s="475">
        <v>12656.338030000001</v>
      </c>
      <c r="F210" s="475">
        <v>12656.338030000001</v>
      </c>
      <c r="G210" s="475">
        <v>2287.4</v>
      </c>
      <c r="H210" s="475">
        <v>2287.4</v>
      </c>
      <c r="I210" s="471">
        <v>18.07</v>
      </c>
      <c r="J210" s="471"/>
    </row>
    <row r="211" spans="1:10" ht="25.5" hidden="1" outlineLevel="2">
      <c r="A211" s="462" t="s">
        <v>927</v>
      </c>
      <c r="B211" s="463" t="s">
        <v>928</v>
      </c>
      <c r="C211" s="464"/>
      <c r="D211" s="463"/>
      <c r="E211" s="465">
        <v>7000</v>
      </c>
      <c r="F211" s="465">
        <v>7000</v>
      </c>
      <c r="G211" s="465">
        <v>5845.4371700000002</v>
      </c>
      <c r="H211" s="465">
        <v>5845.4371700000002</v>
      </c>
      <c r="I211" s="466">
        <v>83.51</v>
      </c>
      <c r="J211" s="466"/>
    </row>
    <row r="212" spans="1:10" ht="63.75" hidden="1" outlineLevel="3">
      <c r="A212" s="467" t="s">
        <v>929</v>
      </c>
      <c r="B212" s="468" t="s">
        <v>930</v>
      </c>
      <c r="C212" s="469"/>
      <c r="D212" s="468"/>
      <c r="E212" s="470">
        <v>7000</v>
      </c>
      <c r="F212" s="470">
        <v>7000</v>
      </c>
      <c r="G212" s="470">
        <v>5845.4371700000002</v>
      </c>
      <c r="H212" s="470">
        <v>5845.4371700000002</v>
      </c>
      <c r="I212" s="471">
        <v>83.51</v>
      </c>
      <c r="J212" s="471"/>
    </row>
    <row r="213" spans="1:10" ht="63.75" hidden="1" outlineLevel="4">
      <c r="A213" s="472" t="s">
        <v>929</v>
      </c>
      <c r="B213" s="473" t="s">
        <v>930</v>
      </c>
      <c r="C213" s="474" t="s">
        <v>726</v>
      </c>
      <c r="D213" s="473" t="s">
        <v>727</v>
      </c>
      <c r="E213" s="475">
        <v>7000</v>
      </c>
      <c r="F213" s="475">
        <v>7000</v>
      </c>
      <c r="G213" s="475">
        <v>5845.4371700000002</v>
      </c>
      <c r="H213" s="475">
        <v>5845.4371700000002</v>
      </c>
      <c r="I213" s="471">
        <v>83.51</v>
      </c>
      <c r="J213" s="471"/>
    </row>
    <row r="214" spans="1:10" ht="38.25" hidden="1" outlineLevel="1">
      <c r="A214" s="457" t="s">
        <v>931</v>
      </c>
      <c r="B214" s="458" t="s">
        <v>932</v>
      </c>
      <c r="C214" s="459"/>
      <c r="D214" s="458"/>
      <c r="E214" s="460">
        <v>14412023.963</v>
      </c>
      <c r="F214" s="460">
        <v>14329377.02713</v>
      </c>
      <c r="G214" s="460">
        <v>8621258.7377499994</v>
      </c>
      <c r="H214" s="460">
        <v>8578993.6071400009</v>
      </c>
      <c r="I214" s="461">
        <v>59.53</v>
      </c>
      <c r="J214" s="461"/>
    </row>
    <row r="215" spans="1:10" ht="51" hidden="1" outlineLevel="2">
      <c r="A215" s="462" t="s">
        <v>933</v>
      </c>
      <c r="B215" s="463" t="s">
        <v>934</v>
      </c>
      <c r="C215" s="464"/>
      <c r="D215" s="463"/>
      <c r="E215" s="465">
        <v>13832181.96242</v>
      </c>
      <c r="F215" s="465">
        <v>13830869.43523</v>
      </c>
      <c r="G215" s="465">
        <v>8457080.3029600009</v>
      </c>
      <c r="H215" s="465">
        <v>8425583.5814500004</v>
      </c>
      <c r="I215" s="466">
        <v>60.91</v>
      </c>
      <c r="J215" s="466"/>
    </row>
    <row r="216" spans="1:10" ht="76.5" hidden="1" outlineLevel="3">
      <c r="A216" s="467" t="s">
        <v>717</v>
      </c>
      <c r="B216" s="468" t="s">
        <v>935</v>
      </c>
      <c r="C216" s="469"/>
      <c r="D216" s="468"/>
      <c r="E216" s="470">
        <v>938271.46100000001</v>
      </c>
      <c r="F216" s="470">
        <v>938271.46100000001</v>
      </c>
      <c r="G216" s="470">
        <v>528629.02356999996</v>
      </c>
      <c r="H216" s="470">
        <v>527941.56337999995</v>
      </c>
      <c r="I216" s="471">
        <v>56.27</v>
      </c>
      <c r="J216" s="471"/>
    </row>
    <row r="217" spans="1:10" ht="76.5" hidden="1" outlineLevel="4">
      <c r="A217" s="472" t="s">
        <v>717</v>
      </c>
      <c r="B217" s="473" t="s">
        <v>935</v>
      </c>
      <c r="C217" s="474" t="s">
        <v>726</v>
      </c>
      <c r="D217" s="473" t="s">
        <v>727</v>
      </c>
      <c r="E217" s="475">
        <v>938271.46100000001</v>
      </c>
      <c r="F217" s="475">
        <v>938271.46100000001</v>
      </c>
      <c r="G217" s="475">
        <v>528629.02356999996</v>
      </c>
      <c r="H217" s="475">
        <v>527941.56337999995</v>
      </c>
      <c r="I217" s="471">
        <v>56.27</v>
      </c>
      <c r="J217" s="471"/>
    </row>
    <row r="218" spans="1:10" ht="140.25" hidden="1" outlineLevel="3">
      <c r="A218" s="467" t="s">
        <v>857</v>
      </c>
      <c r="B218" s="468" t="s">
        <v>936</v>
      </c>
      <c r="C218" s="469"/>
      <c r="D218" s="468"/>
      <c r="E218" s="470">
        <v>7322.9889499999999</v>
      </c>
      <c r="F218" s="470">
        <v>7322.9889499999999</v>
      </c>
      <c r="G218" s="470">
        <v>2670.10014</v>
      </c>
      <c r="H218" s="470">
        <v>2670.10014</v>
      </c>
      <c r="I218" s="471">
        <v>36.46</v>
      </c>
      <c r="J218" s="471"/>
    </row>
    <row r="219" spans="1:10" ht="140.25" hidden="1" outlineLevel="4">
      <c r="A219" s="472" t="s">
        <v>857</v>
      </c>
      <c r="B219" s="473" t="s">
        <v>936</v>
      </c>
      <c r="C219" s="474" t="s">
        <v>726</v>
      </c>
      <c r="D219" s="473" t="s">
        <v>727</v>
      </c>
      <c r="E219" s="475">
        <v>7322.9889499999999</v>
      </c>
      <c r="F219" s="475">
        <v>7322.9889499999999</v>
      </c>
      <c r="G219" s="475">
        <v>2670.10014</v>
      </c>
      <c r="H219" s="475">
        <v>2670.10014</v>
      </c>
      <c r="I219" s="471">
        <v>36.46</v>
      </c>
      <c r="J219" s="471"/>
    </row>
    <row r="220" spans="1:10" ht="63.75" hidden="1" outlineLevel="3">
      <c r="A220" s="467" t="s">
        <v>937</v>
      </c>
      <c r="B220" s="468" t="s">
        <v>938</v>
      </c>
      <c r="C220" s="469"/>
      <c r="D220" s="468"/>
      <c r="E220" s="470">
        <v>219839.3</v>
      </c>
      <c r="F220" s="470">
        <v>219839.3</v>
      </c>
      <c r="G220" s="470">
        <v>0</v>
      </c>
      <c r="H220" s="470">
        <v>0</v>
      </c>
      <c r="I220" s="471">
        <v>0</v>
      </c>
      <c r="J220" s="471"/>
    </row>
    <row r="221" spans="1:10" ht="63.75" hidden="1" outlineLevel="4">
      <c r="A221" s="472" t="s">
        <v>937</v>
      </c>
      <c r="B221" s="473" t="s">
        <v>938</v>
      </c>
      <c r="C221" s="474" t="s">
        <v>726</v>
      </c>
      <c r="D221" s="473" t="s">
        <v>727</v>
      </c>
      <c r="E221" s="475">
        <v>219839.3</v>
      </c>
      <c r="F221" s="475">
        <v>219839.3</v>
      </c>
      <c r="G221" s="475">
        <v>0</v>
      </c>
      <c r="H221" s="475">
        <v>0</v>
      </c>
      <c r="I221" s="471">
        <v>0</v>
      </c>
      <c r="J221" s="476" t="s">
        <v>10</v>
      </c>
    </row>
    <row r="222" spans="1:10" ht="25.5" hidden="1" outlineLevel="3">
      <c r="A222" s="467" t="s">
        <v>721</v>
      </c>
      <c r="B222" s="468" t="s">
        <v>939</v>
      </c>
      <c r="C222" s="469"/>
      <c r="D222" s="468"/>
      <c r="E222" s="470">
        <v>3946.8124699999998</v>
      </c>
      <c r="F222" s="470">
        <v>2634.2852800000001</v>
      </c>
      <c r="G222" s="470">
        <v>2634.2851999999998</v>
      </c>
      <c r="H222" s="470">
        <v>2634.2851999999998</v>
      </c>
      <c r="I222" s="471">
        <v>66.739999999999995</v>
      </c>
      <c r="J222" s="471"/>
    </row>
    <row r="223" spans="1:10" ht="25.5" hidden="1" outlineLevel="4">
      <c r="A223" s="472" t="s">
        <v>721</v>
      </c>
      <c r="B223" s="473" t="s">
        <v>939</v>
      </c>
      <c r="C223" s="474" t="s">
        <v>726</v>
      </c>
      <c r="D223" s="473" t="s">
        <v>727</v>
      </c>
      <c r="E223" s="475">
        <v>3946.8124699999998</v>
      </c>
      <c r="F223" s="475">
        <v>2634.2852800000001</v>
      </c>
      <c r="G223" s="475">
        <v>2634.2851999999998</v>
      </c>
      <c r="H223" s="475">
        <v>2634.2851999999998</v>
      </c>
      <c r="I223" s="471">
        <v>66.739999999999995</v>
      </c>
      <c r="J223" s="471"/>
    </row>
    <row r="224" spans="1:10" ht="76.5" hidden="1" outlineLevel="3">
      <c r="A224" s="467" t="s">
        <v>940</v>
      </c>
      <c r="B224" s="468" t="s">
        <v>941</v>
      </c>
      <c r="C224" s="469"/>
      <c r="D224" s="468"/>
      <c r="E224" s="470">
        <v>4897.2</v>
      </c>
      <c r="F224" s="470">
        <v>4897.2</v>
      </c>
      <c r="G224" s="470">
        <v>2356.5533700000001</v>
      </c>
      <c r="H224" s="470">
        <v>2356.5533700000001</v>
      </c>
      <c r="I224" s="471">
        <v>48.12</v>
      </c>
      <c r="J224" s="471"/>
    </row>
    <row r="225" spans="1:10" ht="76.5" hidden="1" outlineLevel="4">
      <c r="A225" s="472" t="s">
        <v>940</v>
      </c>
      <c r="B225" s="473" t="s">
        <v>941</v>
      </c>
      <c r="C225" s="474" t="s">
        <v>726</v>
      </c>
      <c r="D225" s="473" t="s">
        <v>727</v>
      </c>
      <c r="E225" s="475">
        <v>4897.2</v>
      </c>
      <c r="F225" s="475">
        <v>4897.2</v>
      </c>
      <c r="G225" s="475">
        <v>2356.5533700000001</v>
      </c>
      <c r="H225" s="475">
        <v>2356.5533700000001</v>
      </c>
      <c r="I225" s="471">
        <v>48.12</v>
      </c>
      <c r="J225" s="471"/>
    </row>
    <row r="226" spans="1:10" ht="76.5" hidden="1" outlineLevel="3">
      <c r="A226" s="467" t="s">
        <v>942</v>
      </c>
      <c r="B226" s="468" t="s">
        <v>943</v>
      </c>
      <c r="C226" s="469"/>
      <c r="D226" s="468"/>
      <c r="E226" s="470">
        <v>2877.4</v>
      </c>
      <c r="F226" s="470">
        <v>2877.4</v>
      </c>
      <c r="G226" s="470">
        <v>1146.03649</v>
      </c>
      <c r="H226" s="470">
        <v>1146.03649</v>
      </c>
      <c r="I226" s="471">
        <v>39.83</v>
      </c>
      <c r="J226" s="471"/>
    </row>
    <row r="227" spans="1:10" ht="76.5" hidden="1" outlineLevel="4">
      <c r="A227" s="472" t="s">
        <v>942</v>
      </c>
      <c r="B227" s="473" t="s">
        <v>943</v>
      </c>
      <c r="C227" s="474" t="s">
        <v>726</v>
      </c>
      <c r="D227" s="473" t="s">
        <v>727</v>
      </c>
      <c r="E227" s="475">
        <v>2877.4</v>
      </c>
      <c r="F227" s="475">
        <v>2877.4</v>
      </c>
      <c r="G227" s="475">
        <v>1146.03649</v>
      </c>
      <c r="H227" s="475">
        <v>1146.03649</v>
      </c>
      <c r="I227" s="471">
        <v>39.83</v>
      </c>
      <c r="J227" s="471"/>
    </row>
    <row r="228" spans="1:10" ht="63.75" hidden="1" outlineLevel="3">
      <c r="A228" s="467" t="s">
        <v>944</v>
      </c>
      <c r="B228" s="468" t="s">
        <v>945</v>
      </c>
      <c r="C228" s="469"/>
      <c r="D228" s="468"/>
      <c r="E228" s="470">
        <v>12371909</v>
      </c>
      <c r="F228" s="470">
        <v>12371909</v>
      </c>
      <c r="G228" s="470">
        <v>7800099.4291899996</v>
      </c>
      <c r="H228" s="470">
        <v>7800099.4291899996</v>
      </c>
      <c r="I228" s="471">
        <v>63.05</v>
      </c>
      <c r="J228" s="471"/>
    </row>
    <row r="229" spans="1:10" ht="63.75" hidden="1" outlineLevel="4">
      <c r="A229" s="472" t="s">
        <v>944</v>
      </c>
      <c r="B229" s="473" t="s">
        <v>945</v>
      </c>
      <c r="C229" s="474" t="s">
        <v>726</v>
      </c>
      <c r="D229" s="473" t="s">
        <v>727</v>
      </c>
      <c r="E229" s="475">
        <v>12371909</v>
      </c>
      <c r="F229" s="475">
        <v>12371909</v>
      </c>
      <c r="G229" s="475">
        <v>7800099.4291899996</v>
      </c>
      <c r="H229" s="475">
        <v>7800099.4291899996</v>
      </c>
      <c r="I229" s="471">
        <v>63.05</v>
      </c>
      <c r="J229" s="471"/>
    </row>
    <row r="230" spans="1:10" ht="140.25" hidden="1" outlineLevel="3">
      <c r="A230" s="467" t="s">
        <v>946</v>
      </c>
      <c r="B230" s="468" t="s">
        <v>947</v>
      </c>
      <c r="C230" s="469"/>
      <c r="D230" s="468"/>
      <c r="E230" s="470">
        <v>6245</v>
      </c>
      <c r="F230" s="470">
        <v>6245</v>
      </c>
      <c r="G230" s="470">
        <v>2311.375</v>
      </c>
      <c r="H230" s="470">
        <v>1950.7579000000001</v>
      </c>
      <c r="I230" s="471">
        <v>31.24</v>
      </c>
      <c r="J230" s="471"/>
    </row>
    <row r="231" spans="1:10" ht="140.25" hidden="1" outlineLevel="4">
      <c r="A231" s="472" t="s">
        <v>946</v>
      </c>
      <c r="B231" s="473" t="s">
        <v>947</v>
      </c>
      <c r="C231" s="474" t="s">
        <v>726</v>
      </c>
      <c r="D231" s="473" t="s">
        <v>727</v>
      </c>
      <c r="E231" s="475">
        <v>6245</v>
      </c>
      <c r="F231" s="475">
        <v>6245</v>
      </c>
      <c r="G231" s="475">
        <v>2311.375</v>
      </c>
      <c r="H231" s="475">
        <v>1950.7579000000001</v>
      </c>
      <c r="I231" s="471">
        <v>31.24</v>
      </c>
      <c r="J231" s="471"/>
    </row>
    <row r="232" spans="1:10" ht="76.5" hidden="1" outlineLevel="3">
      <c r="A232" s="467" t="s">
        <v>948</v>
      </c>
      <c r="B232" s="468" t="s">
        <v>949</v>
      </c>
      <c r="C232" s="469"/>
      <c r="D232" s="468"/>
      <c r="E232" s="470">
        <v>276872.8</v>
      </c>
      <c r="F232" s="470">
        <v>276872.8</v>
      </c>
      <c r="G232" s="470">
        <v>117233.5</v>
      </c>
      <c r="H232" s="470">
        <v>86784.855779999998</v>
      </c>
      <c r="I232" s="471">
        <v>31.34</v>
      </c>
      <c r="J232" s="471"/>
    </row>
    <row r="233" spans="1:10" ht="76.5" hidden="1" outlineLevel="4">
      <c r="A233" s="472" t="s">
        <v>948</v>
      </c>
      <c r="B233" s="473" t="s">
        <v>949</v>
      </c>
      <c r="C233" s="474" t="s">
        <v>726</v>
      </c>
      <c r="D233" s="473" t="s">
        <v>727</v>
      </c>
      <c r="E233" s="475">
        <v>276872.8</v>
      </c>
      <c r="F233" s="475">
        <v>276872.8</v>
      </c>
      <c r="G233" s="475">
        <v>117233.5</v>
      </c>
      <c r="H233" s="475">
        <v>86784.855779999998</v>
      </c>
      <c r="I233" s="471">
        <v>31.34</v>
      </c>
      <c r="J233" s="471"/>
    </row>
    <row r="234" spans="1:10" ht="63.75" hidden="1" outlineLevel="2">
      <c r="A234" s="462" t="s">
        <v>950</v>
      </c>
      <c r="B234" s="463" t="s">
        <v>951</v>
      </c>
      <c r="C234" s="464"/>
      <c r="D234" s="463"/>
      <c r="E234" s="465">
        <v>123063.51456</v>
      </c>
      <c r="F234" s="465">
        <v>41729.105880000003</v>
      </c>
      <c r="G234" s="465">
        <v>13089.1823</v>
      </c>
      <c r="H234" s="465">
        <v>13089.1823</v>
      </c>
      <c r="I234" s="466">
        <v>10.64</v>
      </c>
      <c r="J234" s="466"/>
    </row>
    <row r="235" spans="1:10" ht="76.5" hidden="1" outlineLevel="3">
      <c r="A235" s="467" t="s">
        <v>717</v>
      </c>
      <c r="B235" s="468" t="s">
        <v>952</v>
      </c>
      <c r="C235" s="469"/>
      <c r="D235" s="468"/>
      <c r="E235" s="470">
        <v>11447.5</v>
      </c>
      <c r="F235" s="470">
        <v>11447.5</v>
      </c>
      <c r="G235" s="470">
        <v>2654.105</v>
      </c>
      <c r="H235" s="470">
        <v>2654.105</v>
      </c>
      <c r="I235" s="471">
        <v>23.19</v>
      </c>
      <c r="J235" s="471"/>
    </row>
    <row r="236" spans="1:10" ht="76.5" hidden="1" outlineLevel="4">
      <c r="A236" s="472" t="s">
        <v>717</v>
      </c>
      <c r="B236" s="473" t="s">
        <v>952</v>
      </c>
      <c r="C236" s="474" t="s">
        <v>726</v>
      </c>
      <c r="D236" s="473" t="s">
        <v>727</v>
      </c>
      <c r="E236" s="475">
        <v>11447.5</v>
      </c>
      <c r="F236" s="475">
        <v>11447.5</v>
      </c>
      <c r="G236" s="475">
        <v>2654.105</v>
      </c>
      <c r="H236" s="475">
        <v>2654.105</v>
      </c>
      <c r="I236" s="471">
        <v>23.19</v>
      </c>
      <c r="J236" s="471"/>
    </row>
    <row r="237" spans="1:10" ht="25.5" hidden="1" outlineLevel="3">
      <c r="A237" s="467" t="s">
        <v>728</v>
      </c>
      <c r="B237" s="468" t="s">
        <v>953</v>
      </c>
      <c r="C237" s="469"/>
      <c r="D237" s="468"/>
      <c r="E237" s="470">
        <v>92559.254000000001</v>
      </c>
      <c r="F237" s="470">
        <v>11524.84532</v>
      </c>
      <c r="G237" s="470">
        <v>8933.2463200000002</v>
      </c>
      <c r="H237" s="470">
        <v>8933.2463200000002</v>
      </c>
      <c r="I237" s="471">
        <v>9.65</v>
      </c>
      <c r="J237" s="471"/>
    </row>
    <row r="238" spans="1:10" ht="25.5" hidden="1" outlineLevel="4">
      <c r="A238" s="472" t="s">
        <v>728</v>
      </c>
      <c r="B238" s="473" t="s">
        <v>953</v>
      </c>
      <c r="C238" s="474" t="s">
        <v>726</v>
      </c>
      <c r="D238" s="473" t="s">
        <v>727</v>
      </c>
      <c r="E238" s="475">
        <v>92559.254000000001</v>
      </c>
      <c r="F238" s="475">
        <v>11524.84532</v>
      </c>
      <c r="G238" s="475">
        <v>8933.2463200000002</v>
      </c>
      <c r="H238" s="475">
        <v>8933.2463200000002</v>
      </c>
      <c r="I238" s="471">
        <v>9.65</v>
      </c>
      <c r="J238" s="471"/>
    </row>
    <row r="239" spans="1:10" ht="38.25" hidden="1" outlineLevel="3">
      <c r="A239" s="467" t="s">
        <v>954</v>
      </c>
      <c r="B239" s="468" t="s">
        <v>955</v>
      </c>
      <c r="C239" s="469"/>
      <c r="D239" s="468"/>
      <c r="E239" s="470">
        <v>300</v>
      </c>
      <c r="F239" s="470">
        <v>0</v>
      </c>
      <c r="G239" s="470">
        <v>0</v>
      </c>
      <c r="H239" s="470">
        <v>0</v>
      </c>
      <c r="I239" s="471">
        <v>0</v>
      </c>
      <c r="J239" s="471"/>
    </row>
    <row r="240" spans="1:10" ht="38.25" hidden="1" outlineLevel="4">
      <c r="A240" s="472" t="s">
        <v>954</v>
      </c>
      <c r="B240" s="473" t="s">
        <v>955</v>
      </c>
      <c r="C240" s="474" t="s">
        <v>726</v>
      </c>
      <c r="D240" s="473" t="s">
        <v>727</v>
      </c>
      <c r="E240" s="475">
        <v>300</v>
      </c>
      <c r="F240" s="475">
        <v>0</v>
      </c>
      <c r="G240" s="475">
        <v>0</v>
      </c>
      <c r="H240" s="475">
        <v>0</v>
      </c>
      <c r="I240" s="471">
        <v>0</v>
      </c>
      <c r="J240" s="471"/>
    </row>
    <row r="241" spans="1:10" ht="76.5" hidden="1" outlineLevel="3">
      <c r="A241" s="467" t="s">
        <v>956</v>
      </c>
      <c r="B241" s="468" t="s">
        <v>957</v>
      </c>
      <c r="C241" s="469"/>
      <c r="D241" s="468"/>
      <c r="E241" s="470">
        <v>15000</v>
      </c>
      <c r="F241" s="470">
        <v>15000</v>
      </c>
      <c r="G241" s="470">
        <v>0</v>
      </c>
      <c r="H241" s="470">
        <v>0</v>
      </c>
      <c r="I241" s="471">
        <v>0</v>
      </c>
      <c r="J241" s="471"/>
    </row>
    <row r="242" spans="1:10" ht="76.5" hidden="1" outlineLevel="4">
      <c r="A242" s="472" t="s">
        <v>956</v>
      </c>
      <c r="B242" s="473" t="s">
        <v>957</v>
      </c>
      <c r="C242" s="474" t="s">
        <v>726</v>
      </c>
      <c r="D242" s="473" t="s">
        <v>727</v>
      </c>
      <c r="E242" s="475">
        <v>15000</v>
      </c>
      <c r="F242" s="475">
        <v>15000</v>
      </c>
      <c r="G242" s="475">
        <v>0</v>
      </c>
      <c r="H242" s="475">
        <v>0</v>
      </c>
      <c r="I242" s="471">
        <v>0</v>
      </c>
      <c r="J242" s="471"/>
    </row>
    <row r="243" spans="1:10" ht="89.25" hidden="1" outlineLevel="3">
      <c r="A243" s="467" t="s">
        <v>958</v>
      </c>
      <c r="B243" s="468" t="s">
        <v>959</v>
      </c>
      <c r="C243" s="469"/>
      <c r="D243" s="468"/>
      <c r="E243" s="470">
        <v>3756.7605600000002</v>
      </c>
      <c r="F243" s="470">
        <v>3756.7605600000002</v>
      </c>
      <c r="G243" s="470">
        <v>1501.83098</v>
      </c>
      <c r="H243" s="470">
        <v>1501.83098</v>
      </c>
      <c r="I243" s="471">
        <v>39.979999999999997</v>
      </c>
      <c r="J243" s="471"/>
    </row>
    <row r="244" spans="1:10" ht="89.25" hidden="1" outlineLevel="4">
      <c r="A244" s="472" t="s">
        <v>958</v>
      </c>
      <c r="B244" s="473" t="s">
        <v>959</v>
      </c>
      <c r="C244" s="474" t="s">
        <v>726</v>
      </c>
      <c r="D244" s="473" t="s">
        <v>727</v>
      </c>
      <c r="E244" s="475">
        <v>3756.7605600000002</v>
      </c>
      <c r="F244" s="475">
        <v>3756.7605600000002</v>
      </c>
      <c r="G244" s="475">
        <v>1501.83098</v>
      </c>
      <c r="H244" s="475">
        <v>1501.83098</v>
      </c>
      <c r="I244" s="471">
        <v>39.979999999999997</v>
      </c>
      <c r="J244" s="471"/>
    </row>
    <row r="245" spans="1:10" ht="38.25" hidden="1" outlineLevel="2">
      <c r="A245" s="462" t="s">
        <v>960</v>
      </c>
      <c r="B245" s="463" t="s">
        <v>961</v>
      </c>
      <c r="C245" s="464"/>
      <c r="D245" s="463"/>
      <c r="E245" s="465">
        <v>285852.11895999999</v>
      </c>
      <c r="F245" s="465">
        <v>285852.11895999999</v>
      </c>
      <c r="G245" s="465">
        <v>66327.224499999997</v>
      </c>
      <c r="H245" s="465">
        <v>59476.964090000001</v>
      </c>
      <c r="I245" s="466">
        <v>20.81</v>
      </c>
      <c r="J245" s="466"/>
    </row>
    <row r="246" spans="1:10" ht="25.5" hidden="1" outlineLevel="3">
      <c r="A246" s="467" t="s">
        <v>962</v>
      </c>
      <c r="B246" s="468" t="s">
        <v>963</v>
      </c>
      <c r="C246" s="469"/>
      <c r="D246" s="468"/>
      <c r="E246" s="470">
        <v>244576.74395999999</v>
      </c>
      <c r="F246" s="470">
        <v>244576.74395999999</v>
      </c>
      <c r="G246" s="470">
        <v>52666.623599999999</v>
      </c>
      <c r="H246" s="470">
        <v>52666.623599999999</v>
      </c>
      <c r="I246" s="471">
        <v>21.53</v>
      </c>
      <c r="J246" s="471"/>
    </row>
    <row r="247" spans="1:10" ht="25.5" hidden="1" outlineLevel="4">
      <c r="A247" s="472" t="s">
        <v>962</v>
      </c>
      <c r="B247" s="473" t="s">
        <v>963</v>
      </c>
      <c r="C247" s="474" t="s">
        <v>726</v>
      </c>
      <c r="D247" s="473" t="s">
        <v>727</v>
      </c>
      <c r="E247" s="475">
        <v>244576.74395999999</v>
      </c>
      <c r="F247" s="475">
        <v>244576.74395999999</v>
      </c>
      <c r="G247" s="475">
        <v>52666.623599999999</v>
      </c>
      <c r="H247" s="475">
        <v>52666.623599999999</v>
      </c>
      <c r="I247" s="471">
        <v>21.53</v>
      </c>
      <c r="J247" s="471"/>
    </row>
    <row r="248" spans="1:10" ht="38.25" hidden="1" outlineLevel="3">
      <c r="A248" s="467" t="s">
        <v>964</v>
      </c>
      <c r="B248" s="468" t="s">
        <v>965</v>
      </c>
      <c r="C248" s="469"/>
      <c r="D248" s="468"/>
      <c r="E248" s="470">
        <v>41275.375</v>
      </c>
      <c r="F248" s="470">
        <v>41275.375</v>
      </c>
      <c r="G248" s="470">
        <v>13660.600899999999</v>
      </c>
      <c r="H248" s="470">
        <v>6810.3404899999996</v>
      </c>
      <c r="I248" s="471">
        <v>16.5</v>
      </c>
      <c r="J248" s="471"/>
    </row>
    <row r="249" spans="1:10" ht="38.25" hidden="1" outlineLevel="4">
      <c r="A249" s="472" t="s">
        <v>964</v>
      </c>
      <c r="B249" s="473" t="s">
        <v>965</v>
      </c>
      <c r="C249" s="474" t="s">
        <v>726</v>
      </c>
      <c r="D249" s="473" t="s">
        <v>727</v>
      </c>
      <c r="E249" s="475">
        <v>41275.375</v>
      </c>
      <c r="F249" s="475">
        <v>41275.375</v>
      </c>
      <c r="G249" s="475">
        <v>13660.600899999999</v>
      </c>
      <c r="H249" s="475">
        <v>6810.3404899999996</v>
      </c>
      <c r="I249" s="471">
        <v>16.5</v>
      </c>
      <c r="J249" s="471"/>
    </row>
    <row r="250" spans="1:10" ht="25.5" hidden="1" outlineLevel="2">
      <c r="A250" s="462" t="s">
        <v>966</v>
      </c>
      <c r="B250" s="463" t="s">
        <v>967</v>
      </c>
      <c r="C250" s="464"/>
      <c r="D250" s="463"/>
      <c r="E250" s="465">
        <v>40209.786849999997</v>
      </c>
      <c r="F250" s="465">
        <v>40209.786849999997</v>
      </c>
      <c r="G250" s="465">
        <v>39425.192029999998</v>
      </c>
      <c r="H250" s="465">
        <v>35881.229050000002</v>
      </c>
      <c r="I250" s="466">
        <v>89.24</v>
      </c>
      <c r="J250" s="466"/>
    </row>
    <row r="251" spans="1:10" ht="51" hidden="1" outlineLevel="3">
      <c r="A251" s="467" t="s">
        <v>968</v>
      </c>
      <c r="B251" s="468" t="s">
        <v>969</v>
      </c>
      <c r="C251" s="469"/>
      <c r="D251" s="468"/>
      <c r="E251" s="470">
        <v>32394.680850000001</v>
      </c>
      <c r="F251" s="470">
        <v>32394.680850000001</v>
      </c>
      <c r="G251" s="470">
        <v>31610.086029999999</v>
      </c>
      <c r="H251" s="470">
        <v>28066.123049999998</v>
      </c>
      <c r="I251" s="471">
        <v>86.64</v>
      </c>
      <c r="J251" s="471"/>
    </row>
    <row r="252" spans="1:10" ht="51" hidden="1" outlineLevel="4">
      <c r="A252" s="472" t="s">
        <v>968</v>
      </c>
      <c r="B252" s="473" t="s">
        <v>969</v>
      </c>
      <c r="C252" s="474" t="s">
        <v>726</v>
      </c>
      <c r="D252" s="473" t="s">
        <v>727</v>
      </c>
      <c r="E252" s="475">
        <v>32394.680850000001</v>
      </c>
      <c r="F252" s="475">
        <v>32394.680850000001</v>
      </c>
      <c r="G252" s="475">
        <v>31610.086029999999</v>
      </c>
      <c r="H252" s="475">
        <v>28066.123049999998</v>
      </c>
      <c r="I252" s="471">
        <v>86.64</v>
      </c>
      <c r="J252" s="476" t="s">
        <v>10</v>
      </c>
    </row>
    <row r="253" spans="1:10" ht="25.5" hidden="1" outlineLevel="3">
      <c r="A253" s="467" t="s">
        <v>970</v>
      </c>
      <c r="B253" s="468" t="s">
        <v>971</v>
      </c>
      <c r="C253" s="469"/>
      <c r="D253" s="468"/>
      <c r="E253" s="470">
        <v>7815.1059999999998</v>
      </c>
      <c r="F253" s="470">
        <v>7815.1059999999998</v>
      </c>
      <c r="G253" s="470">
        <v>7815.1059999999998</v>
      </c>
      <c r="H253" s="470">
        <v>7815.1059999999998</v>
      </c>
      <c r="I253" s="471">
        <v>100</v>
      </c>
      <c r="J253" s="471"/>
    </row>
    <row r="254" spans="1:10" ht="25.5" hidden="1" outlineLevel="4">
      <c r="A254" s="472" t="s">
        <v>970</v>
      </c>
      <c r="B254" s="473" t="s">
        <v>971</v>
      </c>
      <c r="C254" s="474" t="s">
        <v>726</v>
      </c>
      <c r="D254" s="473" t="s">
        <v>727</v>
      </c>
      <c r="E254" s="475">
        <v>7815.1059999999998</v>
      </c>
      <c r="F254" s="475">
        <v>7815.1059999999998</v>
      </c>
      <c r="G254" s="475">
        <v>7815.1059999999998</v>
      </c>
      <c r="H254" s="475">
        <v>7815.1059999999998</v>
      </c>
      <c r="I254" s="471">
        <v>100</v>
      </c>
      <c r="J254" s="476" t="s">
        <v>10</v>
      </c>
    </row>
    <row r="255" spans="1:10" ht="25.5" hidden="1" outlineLevel="2">
      <c r="A255" s="462" t="s">
        <v>972</v>
      </c>
      <c r="B255" s="463" t="s">
        <v>973</v>
      </c>
      <c r="C255" s="464"/>
      <c r="D255" s="463"/>
      <c r="E255" s="465">
        <v>114362.37020999999</v>
      </c>
      <c r="F255" s="465">
        <v>114362.37020999999</v>
      </c>
      <c r="G255" s="465">
        <v>39986.835959999997</v>
      </c>
      <c r="H255" s="465">
        <v>39612.650249999999</v>
      </c>
      <c r="I255" s="466">
        <v>34.64</v>
      </c>
      <c r="J255" s="466"/>
    </row>
    <row r="256" spans="1:10" ht="25.5" hidden="1" outlineLevel="3">
      <c r="A256" s="467" t="s">
        <v>974</v>
      </c>
      <c r="B256" s="468" t="s">
        <v>975</v>
      </c>
      <c r="C256" s="469"/>
      <c r="D256" s="468"/>
      <c r="E256" s="470">
        <v>2500</v>
      </c>
      <c r="F256" s="470">
        <v>2500</v>
      </c>
      <c r="G256" s="470">
        <v>833.3</v>
      </c>
      <c r="H256" s="470">
        <v>833.3</v>
      </c>
      <c r="I256" s="471">
        <v>33.33</v>
      </c>
      <c r="J256" s="471"/>
    </row>
    <row r="257" spans="1:10" ht="25.5" hidden="1" outlineLevel="4">
      <c r="A257" s="472" t="s">
        <v>974</v>
      </c>
      <c r="B257" s="473" t="s">
        <v>975</v>
      </c>
      <c r="C257" s="474" t="s">
        <v>726</v>
      </c>
      <c r="D257" s="473" t="s">
        <v>727</v>
      </c>
      <c r="E257" s="475">
        <v>2500</v>
      </c>
      <c r="F257" s="475">
        <v>2500</v>
      </c>
      <c r="G257" s="475">
        <v>833.3</v>
      </c>
      <c r="H257" s="475">
        <v>833.3</v>
      </c>
      <c r="I257" s="471">
        <v>33.33</v>
      </c>
      <c r="J257" s="471"/>
    </row>
    <row r="258" spans="1:10" ht="25.5" hidden="1" outlineLevel="3">
      <c r="A258" s="467" t="s">
        <v>976</v>
      </c>
      <c r="B258" s="468" t="s">
        <v>977</v>
      </c>
      <c r="C258" s="469"/>
      <c r="D258" s="468"/>
      <c r="E258" s="470">
        <v>58660</v>
      </c>
      <c r="F258" s="470">
        <v>58660</v>
      </c>
      <c r="G258" s="470">
        <v>3525.53872</v>
      </c>
      <c r="H258" s="470">
        <v>3525.53872</v>
      </c>
      <c r="I258" s="471">
        <v>6.01</v>
      </c>
      <c r="J258" s="471"/>
    </row>
    <row r="259" spans="1:10" ht="25.5" hidden="1" outlineLevel="4">
      <c r="A259" s="472" t="s">
        <v>976</v>
      </c>
      <c r="B259" s="473" t="s">
        <v>977</v>
      </c>
      <c r="C259" s="474" t="s">
        <v>726</v>
      </c>
      <c r="D259" s="473" t="s">
        <v>727</v>
      </c>
      <c r="E259" s="475">
        <v>58660</v>
      </c>
      <c r="F259" s="475">
        <v>58660</v>
      </c>
      <c r="G259" s="475">
        <v>3525.53872</v>
      </c>
      <c r="H259" s="475">
        <v>3525.53872</v>
      </c>
      <c r="I259" s="471">
        <v>6.01</v>
      </c>
      <c r="J259" s="471"/>
    </row>
    <row r="260" spans="1:10" ht="25.5" hidden="1" outlineLevel="3">
      <c r="A260" s="467" t="s">
        <v>978</v>
      </c>
      <c r="B260" s="468" t="s">
        <v>979</v>
      </c>
      <c r="C260" s="469"/>
      <c r="D260" s="468"/>
      <c r="E260" s="470">
        <v>16933.936170000001</v>
      </c>
      <c r="F260" s="470">
        <v>16933.936170000001</v>
      </c>
      <c r="G260" s="470">
        <v>1235</v>
      </c>
      <c r="H260" s="470">
        <v>1235</v>
      </c>
      <c r="I260" s="471">
        <v>7.29</v>
      </c>
      <c r="J260" s="471"/>
    </row>
    <row r="261" spans="1:10" ht="25.5" hidden="1" outlineLevel="4">
      <c r="A261" s="472" t="s">
        <v>978</v>
      </c>
      <c r="B261" s="473" t="s">
        <v>979</v>
      </c>
      <c r="C261" s="474" t="s">
        <v>726</v>
      </c>
      <c r="D261" s="473" t="s">
        <v>727</v>
      </c>
      <c r="E261" s="475">
        <v>16933.936170000001</v>
      </c>
      <c r="F261" s="475">
        <v>16933.936170000001</v>
      </c>
      <c r="G261" s="475">
        <v>1235</v>
      </c>
      <c r="H261" s="475">
        <v>1235</v>
      </c>
      <c r="I261" s="471">
        <v>7.29</v>
      </c>
      <c r="J261" s="476" t="s">
        <v>10</v>
      </c>
    </row>
    <row r="262" spans="1:10" ht="63.75" hidden="1" outlineLevel="3">
      <c r="A262" s="467" t="s">
        <v>980</v>
      </c>
      <c r="B262" s="468" t="s">
        <v>981</v>
      </c>
      <c r="C262" s="469"/>
      <c r="D262" s="468"/>
      <c r="E262" s="470">
        <v>21762.234039999999</v>
      </c>
      <c r="F262" s="470">
        <v>21762.234039999999</v>
      </c>
      <c r="G262" s="470">
        <v>20340.521570000001</v>
      </c>
      <c r="H262" s="470">
        <v>19966.335859999999</v>
      </c>
      <c r="I262" s="471">
        <v>91.75</v>
      </c>
      <c r="J262" s="471"/>
    </row>
    <row r="263" spans="1:10" ht="63.75" hidden="1" outlineLevel="4">
      <c r="A263" s="472" t="s">
        <v>980</v>
      </c>
      <c r="B263" s="473" t="s">
        <v>981</v>
      </c>
      <c r="C263" s="474" t="s">
        <v>726</v>
      </c>
      <c r="D263" s="473" t="s">
        <v>727</v>
      </c>
      <c r="E263" s="475">
        <v>21762.234039999999</v>
      </c>
      <c r="F263" s="475">
        <v>21762.234039999999</v>
      </c>
      <c r="G263" s="475">
        <v>20340.521570000001</v>
      </c>
      <c r="H263" s="475">
        <v>19966.335859999999</v>
      </c>
      <c r="I263" s="471">
        <v>91.75</v>
      </c>
      <c r="J263" s="476" t="s">
        <v>10</v>
      </c>
    </row>
    <row r="264" spans="1:10" ht="63.75" hidden="1" outlineLevel="3">
      <c r="A264" s="467" t="s">
        <v>982</v>
      </c>
      <c r="B264" s="468" t="s">
        <v>983</v>
      </c>
      <c r="C264" s="469"/>
      <c r="D264" s="468"/>
      <c r="E264" s="470">
        <v>14506.2</v>
      </c>
      <c r="F264" s="470">
        <v>14506.2</v>
      </c>
      <c r="G264" s="470">
        <v>14052.47567</v>
      </c>
      <c r="H264" s="470">
        <v>14052.47567</v>
      </c>
      <c r="I264" s="471">
        <v>96.87</v>
      </c>
      <c r="J264" s="471"/>
    </row>
    <row r="265" spans="1:10" ht="63.75" hidden="1" outlineLevel="4">
      <c r="A265" s="472" t="s">
        <v>982</v>
      </c>
      <c r="B265" s="473" t="s">
        <v>983</v>
      </c>
      <c r="C265" s="474" t="s">
        <v>726</v>
      </c>
      <c r="D265" s="473" t="s">
        <v>727</v>
      </c>
      <c r="E265" s="475">
        <v>14506.2</v>
      </c>
      <c r="F265" s="475">
        <v>14506.2</v>
      </c>
      <c r="G265" s="475">
        <v>14052.47567</v>
      </c>
      <c r="H265" s="475">
        <v>14052.47567</v>
      </c>
      <c r="I265" s="471">
        <v>96.87</v>
      </c>
      <c r="J265" s="476" t="s">
        <v>10</v>
      </c>
    </row>
    <row r="266" spans="1:10" ht="25.5" hidden="1" outlineLevel="2">
      <c r="A266" s="462" t="s">
        <v>984</v>
      </c>
      <c r="B266" s="463" t="s">
        <v>985</v>
      </c>
      <c r="C266" s="464"/>
      <c r="D266" s="463"/>
      <c r="E266" s="465">
        <v>16354.21</v>
      </c>
      <c r="F266" s="465">
        <v>16354.21</v>
      </c>
      <c r="G266" s="465">
        <v>5350</v>
      </c>
      <c r="H266" s="465">
        <v>5350</v>
      </c>
      <c r="I266" s="466">
        <v>32.71</v>
      </c>
      <c r="J266" s="466"/>
    </row>
    <row r="267" spans="1:10" ht="63.75" hidden="1" outlineLevel="3">
      <c r="A267" s="467" t="s">
        <v>986</v>
      </c>
      <c r="B267" s="468" t="s">
        <v>987</v>
      </c>
      <c r="C267" s="469"/>
      <c r="D267" s="468"/>
      <c r="E267" s="470">
        <v>16354.21</v>
      </c>
      <c r="F267" s="470">
        <v>16354.21</v>
      </c>
      <c r="G267" s="470">
        <v>5350</v>
      </c>
      <c r="H267" s="470">
        <v>5350</v>
      </c>
      <c r="I267" s="471">
        <v>32.71</v>
      </c>
      <c r="J267" s="471"/>
    </row>
    <row r="268" spans="1:10" ht="63.75" hidden="1" outlineLevel="4">
      <c r="A268" s="472" t="s">
        <v>986</v>
      </c>
      <c r="B268" s="473" t="s">
        <v>987</v>
      </c>
      <c r="C268" s="474" t="s">
        <v>726</v>
      </c>
      <c r="D268" s="473" t="s">
        <v>727</v>
      </c>
      <c r="E268" s="475">
        <v>16354.21</v>
      </c>
      <c r="F268" s="475">
        <v>16354.21</v>
      </c>
      <c r="G268" s="475">
        <v>5350</v>
      </c>
      <c r="H268" s="475">
        <v>5350</v>
      </c>
      <c r="I268" s="471">
        <v>32.71</v>
      </c>
      <c r="J268" s="471"/>
    </row>
    <row r="269" spans="1:10" ht="38.25" hidden="1" outlineLevel="1">
      <c r="A269" s="457" t="s">
        <v>988</v>
      </c>
      <c r="B269" s="458" t="s">
        <v>989</v>
      </c>
      <c r="C269" s="459"/>
      <c r="D269" s="458"/>
      <c r="E269" s="460">
        <v>2831061.22854</v>
      </c>
      <c r="F269" s="460">
        <v>2758475.80614</v>
      </c>
      <c r="G269" s="460">
        <v>526737.20117000001</v>
      </c>
      <c r="H269" s="460">
        <v>500388.2452</v>
      </c>
      <c r="I269" s="461">
        <v>17.670000000000002</v>
      </c>
      <c r="J269" s="461"/>
    </row>
    <row r="270" spans="1:10" ht="51" hidden="1" outlineLevel="2">
      <c r="A270" s="462" t="s">
        <v>990</v>
      </c>
      <c r="B270" s="463" t="s">
        <v>991</v>
      </c>
      <c r="C270" s="464"/>
      <c r="D270" s="463"/>
      <c r="E270" s="465">
        <v>448232.45973</v>
      </c>
      <c r="F270" s="465">
        <v>375647.03733000002</v>
      </c>
      <c r="G270" s="465">
        <v>46458.951079999999</v>
      </c>
      <c r="H270" s="465">
        <v>39502.089359999998</v>
      </c>
      <c r="I270" s="466">
        <v>8.81</v>
      </c>
      <c r="J270" s="466"/>
    </row>
    <row r="271" spans="1:10" ht="76.5" hidden="1" outlineLevel="3">
      <c r="A271" s="467" t="s">
        <v>717</v>
      </c>
      <c r="B271" s="468" t="s">
        <v>992</v>
      </c>
      <c r="C271" s="469"/>
      <c r="D271" s="468"/>
      <c r="E271" s="470">
        <v>803.3</v>
      </c>
      <c r="F271" s="470">
        <v>803.3</v>
      </c>
      <c r="G271" s="470">
        <v>453.3</v>
      </c>
      <c r="H271" s="470">
        <v>453.3</v>
      </c>
      <c r="I271" s="471">
        <v>56.43</v>
      </c>
      <c r="J271" s="471"/>
    </row>
    <row r="272" spans="1:10" ht="76.5" hidden="1" outlineLevel="4">
      <c r="A272" s="472" t="s">
        <v>717</v>
      </c>
      <c r="B272" s="473" t="s">
        <v>992</v>
      </c>
      <c r="C272" s="474" t="s">
        <v>911</v>
      </c>
      <c r="D272" s="473" t="s">
        <v>912</v>
      </c>
      <c r="E272" s="475">
        <v>803.3</v>
      </c>
      <c r="F272" s="475">
        <v>803.3</v>
      </c>
      <c r="G272" s="475">
        <v>453.3</v>
      </c>
      <c r="H272" s="475">
        <v>453.3</v>
      </c>
      <c r="I272" s="471">
        <v>56.43</v>
      </c>
      <c r="J272" s="471"/>
    </row>
    <row r="273" spans="1:10" ht="25.5" hidden="1" outlineLevel="3">
      <c r="A273" s="467" t="s">
        <v>728</v>
      </c>
      <c r="B273" s="468" t="s">
        <v>993</v>
      </c>
      <c r="C273" s="469"/>
      <c r="D273" s="468"/>
      <c r="E273" s="470">
        <v>177175.62925</v>
      </c>
      <c r="F273" s="470">
        <v>132376.87974999999</v>
      </c>
      <c r="G273" s="470">
        <v>34618.924700000003</v>
      </c>
      <c r="H273" s="470">
        <v>34192.009680000003</v>
      </c>
      <c r="I273" s="471">
        <v>19.3</v>
      </c>
      <c r="J273" s="471"/>
    </row>
    <row r="274" spans="1:10" ht="25.5" hidden="1" outlineLevel="4">
      <c r="A274" s="472" t="s">
        <v>728</v>
      </c>
      <c r="B274" s="473" t="s">
        <v>993</v>
      </c>
      <c r="C274" s="474" t="s">
        <v>818</v>
      </c>
      <c r="D274" s="473" t="s">
        <v>819</v>
      </c>
      <c r="E274" s="475">
        <v>177175.62925</v>
      </c>
      <c r="F274" s="475">
        <v>132376.87974999999</v>
      </c>
      <c r="G274" s="475">
        <v>34618.924700000003</v>
      </c>
      <c r="H274" s="475">
        <v>34192.009680000003</v>
      </c>
      <c r="I274" s="471">
        <v>19.3</v>
      </c>
      <c r="J274" s="471"/>
    </row>
    <row r="275" spans="1:10" ht="51" hidden="1" outlineLevel="3">
      <c r="A275" s="467" t="s">
        <v>816</v>
      </c>
      <c r="B275" s="468" t="s">
        <v>994</v>
      </c>
      <c r="C275" s="469"/>
      <c r="D275" s="468"/>
      <c r="E275" s="470">
        <v>121422.49400000001</v>
      </c>
      <c r="F275" s="470">
        <v>93635.821100000001</v>
      </c>
      <c r="G275" s="470">
        <v>3500</v>
      </c>
      <c r="H275" s="470">
        <v>0</v>
      </c>
      <c r="I275" s="471">
        <v>0</v>
      </c>
      <c r="J275" s="471"/>
    </row>
    <row r="276" spans="1:10" ht="51" hidden="1" outlineLevel="4">
      <c r="A276" s="472" t="s">
        <v>816</v>
      </c>
      <c r="B276" s="473" t="s">
        <v>994</v>
      </c>
      <c r="C276" s="474" t="s">
        <v>818</v>
      </c>
      <c r="D276" s="473" t="s">
        <v>819</v>
      </c>
      <c r="E276" s="475">
        <v>121422.49400000001</v>
      </c>
      <c r="F276" s="475">
        <v>93635.821100000001</v>
      </c>
      <c r="G276" s="475">
        <v>3500</v>
      </c>
      <c r="H276" s="475">
        <v>0</v>
      </c>
      <c r="I276" s="471">
        <v>0</v>
      </c>
      <c r="J276" s="471"/>
    </row>
    <row r="277" spans="1:10" ht="38.25" hidden="1" outlineLevel="3">
      <c r="A277" s="467" t="s">
        <v>995</v>
      </c>
      <c r="B277" s="468" t="s">
        <v>996</v>
      </c>
      <c r="C277" s="469"/>
      <c r="D277" s="468"/>
      <c r="E277" s="470">
        <v>114436.02</v>
      </c>
      <c r="F277" s="470">
        <v>114436.02</v>
      </c>
      <c r="G277" s="470">
        <v>4856.7796799999996</v>
      </c>
      <c r="H277" s="470">
        <v>4856.7796799999996</v>
      </c>
      <c r="I277" s="471">
        <v>4.24</v>
      </c>
      <c r="J277" s="471"/>
    </row>
    <row r="278" spans="1:10" ht="38.25" hidden="1" outlineLevel="4">
      <c r="A278" s="472" t="s">
        <v>995</v>
      </c>
      <c r="B278" s="473" t="s">
        <v>996</v>
      </c>
      <c r="C278" s="474" t="s">
        <v>818</v>
      </c>
      <c r="D278" s="473" t="s">
        <v>819</v>
      </c>
      <c r="E278" s="475">
        <v>114436.02</v>
      </c>
      <c r="F278" s="475">
        <v>114436.02</v>
      </c>
      <c r="G278" s="475">
        <v>4856.7796799999996</v>
      </c>
      <c r="H278" s="475">
        <v>4856.7796799999996</v>
      </c>
      <c r="I278" s="471">
        <v>4.24</v>
      </c>
      <c r="J278" s="471"/>
    </row>
    <row r="279" spans="1:10" ht="38.25" hidden="1" outlineLevel="3">
      <c r="A279" s="467" t="s">
        <v>997</v>
      </c>
      <c r="B279" s="468" t="s">
        <v>998</v>
      </c>
      <c r="C279" s="469"/>
      <c r="D279" s="468"/>
      <c r="E279" s="470">
        <v>12877.27</v>
      </c>
      <c r="F279" s="470">
        <v>12877.27</v>
      </c>
      <c r="G279" s="470">
        <v>0</v>
      </c>
      <c r="H279" s="470">
        <v>0</v>
      </c>
      <c r="I279" s="471">
        <v>0</v>
      </c>
      <c r="J279" s="471"/>
    </row>
    <row r="280" spans="1:10" ht="38.25" hidden="1" outlineLevel="4">
      <c r="A280" s="472" t="s">
        <v>997</v>
      </c>
      <c r="B280" s="473" t="s">
        <v>998</v>
      </c>
      <c r="C280" s="474" t="s">
        <v>818</v>
      </c>
      <c r="D280" s="473" t="s">
        <v>819</v>
      </c>
      <c r="E280" s="475">
        <v>12877.27</v>
      </c>
      <c r="F280" s="475">
        <v>12877.27</v>
      </c>
      <c r="G280" s="475">
        <v>0</v>
      </c>
      <c r="H280" s="475">
        <v>0</v>
      </c>
      <c r="I280" s="471">
        <v>0</v>
      </c>
      <c r="J280" s="471"/>
    </row>
    <row r="281" spans="1:10" ht="63.75" hidden="1" outlineLevel="3">
      <c r="A281" s="467" t="s">
        <v>999</v>
      </c>
      <c r="B281" s="468" t="s">
        <v>1000</v>
      </c>
      <c r="C281" s="469"/>
      <c r="D281" s="468"/>
      <c r="E281" s="470">
        <v>21517.746480000002</v>
      </c>
      <c r="F281" s="470">
        <v>21517.746480000002</v>
      </c>
      <c r="G281" s="470">
        <v>3029.9467</v>
      </c>
      <c r="H281" s="470">
        <v>0</v>
      </c>
      <c r="I281" s="471">
        <v>0</v>
      </c>
      <c r="J281" s="471"/>
    </row>
    <row r="282" spans="1:10" ht="63.75" hidden="1" outlineLevel="4">
      <c r="A282" s="472" t="s">
        <v>999</v>
      </c>
      <c r="B282" s="473" t="s">
        <v>1000</v>
      </c>
      <c r="C282" s="474" t="s">
        <v>818</v>
      </c>
      <c r="D282" s="473" t="s">
        <v>819</v>
      </c>
      <c r="E282" s="475">
        <v>21517.746480000002</v>
      </c>
      <c r="F282" s="475">
        <v>21517.746480000002</v>
      </c>
      <c r="G282" s="475">
        <v>3029.9467</v>
      </c>
      <c r="H282" s="475">
        <v>0</v>
      </c>
      <c r="I282" s="471">
        <v>0</v>
      </c>
      <c r="J282" s="471"/>
    </row>
    <row r="283" spans="1:10" ht="38.25" hidden="1" outlineLevel="2">
      <c r="A283" s="462" t="s">
        <v>1001</v>
      </c>
      <c r="B283" s="463" t="s">
        <v>1002</v>
      </c>
      <c r="C283" s="464"/>
      <c r="D283" s="463"/>
      <c r="E283" s="465">
        <v>894058.04246999999</v>
      </c>
      <c r="F283" s="465">
        <v>894058.04246999999</v>
      </c>
      <c r="G283" s="465">
        <v>386988.32026000001</v>
      </c>
      <c r="H283" s="465">
        <v>369067.79135999997</v>
      </c>
      <c r="I283" s="466">
        <v>41.28</v>
      </c>
      <c r="J283" s="466"/>
    </row>
    <row r="284" spans="1:10" ht="76.5" hidden="1" outlineLevel="3">
      <c r="A284" s="467" t="s">
        <v>717</v>
      </c>
      <c r="B284" s="468" t="s">
        <v>1003</v>
      </c>
      <c r="C284" s="469"/>
      <c r="D284" s="468"/>
      <c r="E284" s="470">
        <v>178293.94899999999</v>
      </c>
      <c r="F284" s="470">
        <v>178293.94899999999</v>
      </c>
      <c r="G284" s="470">
        <v>44245.987910000003</v>
      </c>
      <c r="H284" s="470">
        <v>44080.555910000003</v>
      </c>
      <c r="I284" s="471">
        <v>24.72</v>
      </c>
      <c r="J284" s="471"/>
    </row>
    <row r="285" spans="1:10" ht="76.5" hidden="1" outlineLevel="4">
      <c r="A285" s="472" t="s">
        <v>717</v>
      </c>
      <c r="B285" s="473" t="s">
        <v>1003</v>
      </c>
      <c r="C285" s="474" t="s">
        <v>911</v>
      </c>
      <c r="D285" s="473" t="s">
        <v>912</v>
      </c>
      <c r="E285" s="475">
        <v>1192.5999999999999</v>
      </c>
      <c r="F285" s="475">
        <v>1192.5999999999999</v>
      </c>
      <c r="G285" s="475">
        <v>893.26499999999999</v>
      </c>
      <c r="H285" s="475">
        <v>893.26499999999999</v>
      </c>
      <c r="I285" s="471">
        <v>74.900000000000006</v>
      </c>
      <c r="J285" s="471"/>
    </row>
    <row r="286" spans="1:10" ht="76.5" hidden="1" outlineLevel="4">
      <c r="A286" s="472" t="s">
        <v>717</v>
      </c>
      <c r="B286" s="473" t="s">
        <v>1003</v>
      </c>
      <c r="C286" s="474" t="s">
        <v>726</v>
      </c>
      <c r="D286" s="473" t="s">
        <v>727</v>
      </c>
      <c r="E286" s="475">
        <v>177101.34899999999</v>
      </c>
      <c r="F286" s="475">
        <v>177101.34899999999</v>
      </c>
      <c r="G286" s="475">
        <v>43352.722909999997</v>
      </c>
      <c r="H286" s="475">
        <v>43187.290910000003</v>
      </c>
      <c r="I286" s="471">
        <v>24.39</v>
      </c>
      <c r="J286" s="471"/>
    </row>
    <row r="287" spans="1:10" ht="25.5" hidden="1" outlineLevel="3">
      <c r="A287" s="467" t="s">
        <v>728</v>
      </c>
      <c r="B287" s="468" t="s">
        <v>1004</v>
      </c>
      <c r="C287" s="469"/>
      <c r="D287" s="468"/>
      <c r="E287" s="470">
        <v>163923.70000000001</v>
      </c>
      <c r="F287" s="470">
        <v>163923.70000000001</v>
      </c>
      <c r="G287" s="470">
        <v>0</v>
      </c>
      <c r="H287" s="470">
        <v>0</v>
      </c>
      <c r="I287" s="471">
        <v>0</v>
      </c>
      <c r="J287" s="471"/>
    </row>
    <row r="288" spans="1:10" ht="25.5" hidden="1" outlineLevel="4">
      <c r="A288" s="472" t="s">
        <v>728</v>
      </c>
      <c r="B288" s="473" t="s">
        <v>1004</v>
      </c>
      <c r="C288" s="474" t="s">
        <v>726</v>
      </c>
      <c r="D288" s="473" t="s">
        <v>727</v>
      </c>
      <c r="E288" s="475">
        <v>163923.70000000001</v>
      </c>
      <c r="F288" s="475">
        <v>163923.70000000001</v>
      </c>
      <c r="G288" s="475">
        <v>0</v>
      </c>
      <c r="H288" s="475">
        <v>0</v>
      </c>
      <c r="I288" s="471">
        <v>0</v>
      </c>
      <c r="J288" s="471"/>
    </row>
    <row r="289" spans="1:10" ht="89.25" hidden="1" outlineLevel="3">
      <c r="A289" s="467" t="s">
        <v>1005</v>
      </c>
      <c r="B289" s="468" t="s">
        <v>1006</v>
      </c>
      <c r="C289" s="469"/>
      <c r="D289" s="468"/>
      <c r="E289" s="470">
        <v>8553.2000000000007</v>
      </c>
      <c r="F289" s="470">
        <v>8553.2000000000007</v>
      </c>
      <c r="G289" s="470">
        <v>0</v>
      </c>
      <c r="H289" s="470">
        <v>0</v>
      </c>
      <c r="I289" s="471">
        <v>0</v>
      </c>
      <c r="J289" s="471"/>
    </row>
    <row r="290" spans="1:10" ht="89.25" hidden="1" outlineLevel="4">
      <c r="A290" s="472" t="s">
        <v>1005</v>
      </c>
      <c r="B290" s="473" t="s">
        <v>1006</v>
      </c>
      <c r="C290" s="474" t="s">
        <v>726</v>
      </c>
      <c r="D290" s="473" t="s">
        <v>727</v>
      </c>
      <c r="E290" s="475">
        <v>8553.2000000000007</v>
      </c>
      <c r="F290" s="475">
        <v>8553.2000000000007</v>
      </c>
      <c r="G290" s="475">
        <v>0</v>
      </c>
      <c r="H290" s="475">
        <v>0</v>
      </c>
      <c r="I290" s="471">
        <v>0</v>
      </c>
      <c r="J290" s="471"/>
    </row>
    <row r="291" spans="1:10" ht="38.25" hidden="1" outlineLevel="3">
      <c r="A291" s="467" t="s">
        <v>1007</v>
      </c>
      <c r="B291" s="468" t="s">
        <v>1008</v>
      </c>
      <c r="C291" s="469"/>
      <c r="D291" s="468"/>
      <c r="E291" s="470">
        <v>88784</v>
      </c>
      <c r="F291" s="470">
        <v>88784</v>
      </c>
      <c r="G291" s="470">
        <v>21985.755850000001</v>
      </c>
      <c r="H291" s="470">
        <v>11967.17146</v>
      </c>
      <c r="I291" s="471">
        <v>13.48</v>
      </c>
      <c r="J291" s="471"/>
    </row>
    <row r="292" spans="1:10" ht="38.25" hidden="1" outlineLevel="4">
      <c r="A292" s="472" t="s">
        <v>1007</v>
      </c>
      <c r="B292" s="473" t="s">
        <v>1008</v>
      </c>
      <c r="C292" s="474" t="s">
        <v>726</v>
      </c>
      <c r="D292" s="473" t="s">
        <v>727</v>
      </c>
      <c r="E292" s="475">
        <v>88784</v>
      </c>
      <c r="F292" s="475">
        <v>88784</v>
      </c>
      <c r="G292" s="475">
        <v>21985.755850000001</v>
      </c>
      <c r="H292" s="475">
        <v>11967.17146</v>
      </c>
      <c r="I292" s="471">
        <v>13.48</v>
      </c>
      <c r="J292" s="471"/>
    </row>
    <row r="293" spans="1:10" ht="89.25" hidden="1" outlineLevel="3">
      <c r="A293" s="467" t="s">
        <v>1009</v>
      </c>
      <c r="B293" s="468" t="s">
        <v>1010</v>
      </c>
      <c r="C293" s="469"/>
      <c r="D293" s="468"/>
      <c r="E293" s="470">
        <v>22081.1</v>
      </c>
      <c r="F293" s="470">
        <v>22081.1</v>
      </c>
      <c r="G293" s="470">
        <v>10492.726000000001</v>
      </c>
      <c r="H293" s="470">
        <v>9012.8555699999997</v>
      </c>
      <c r="I293" s="471">
        <v>40.82</v>
      </c>
      <c r="J293" s="471"/>
    </row>
    <row r="294" spans="1:10" ht="89.25" hidden="1" outlineLevel="4">
      <c r="A294" s="472" t="s">
        <v>1009</v>
      </c>
      <c r="B294" s="473" t="s">
        <v>1010</v>
      </c>
      <c r="C294" s="474" t="s">
        <v>726</v>
      </c>
      <c r="D294" s="473" t="s">
        <v>727</v>
      </c>
      <c r="E294" s="475">
        <v>22081.1</v>
      </c>
      <c r="F294" s="475">
        <v>22081.1</v>
      </c>
      <c r="G294" s="475">
        <v>10492.726000000001</v>
      </c>
      <c r="H294" s="475">
        <v>9012.8555699999997</v>
      </c>
      <c r="I294" s="471">
        <v>40.82</v>
      </c>
      <c r="J294" s="471"/>
    </row>
    <row r="295" spans="1:10" ht="38.25" hidden="1" outlineLevel="3">
      <c r="A295" s="467" t="s">
        <v>1011</v>
      </c>
      <c r="B295" s="468" t="s">
        <v>1012</v>
      </c>
      <c r="C295" s="469"/>
      <c r="D295" s="468"/>
      <c r="E295" s="470">
        <v>429506.99346999999</v>
      </c>
      <c r="F295" s="470">
        <v>429506.99346999999</v>
      </c>
      <c r="G295" s="470">
        <v>309572.34049999999</v>
      </c>
      <c r="H295" s="470">
        <v>303315.69841999997</v>
      </c>
      <c r="I295" s="471">
        <v>70.62</v>
      </c>
      <c r="J295" s="471"/>
    </row>
    <row r="296" spans="1:10" ht="38.25" hidden="1" outlineLevel="4">
      <c r="A296" s="472" t="s">
        <v>1011</v>
      </c>
      <c r="B296" s="473" t="s">
        <v>1012</v>
      </c>
      <c r="C296" s="474" t="s">
        <v>726</v>
      </c>
      <c r="D296" s="473" t="s">
        <v>727</v>
      </c>
      <c r="E296" s="475">
        <v>429506.99346999999</v>
      </c>
      <c r="F296" s="475">
        <v>429506.99346999999</v>
      </c>
      <c r="G296" s="475">
        <v>309572.34049999999</v>
      </c>
      <c r="H296" s="475">
        <v>303315.69841999997</v>
      </c>
      <c r="I296" s="471">
        <v>70.62</v>
      </c>
      <c r="J296" s="471"/>
    </row>
    <row r="297" spans="1:10" ht="38.25" hidden="1" outlineLevel="3">
      <c r="A297" s="467" t="s">
        <v>925</v>
      </c>
      <c r="B297" s="468" t="s">
        <v>1013</v>
      </c>
      <c r="C297" s="469"/>
      <c r="D297" s="468"/>
      <c r="E297" s="470">
        <v>2915.1</v>
      </c>
      <c r="F297" s="470">
        <v>2915.1</v>
      </c>
      <c r="G297" s="470">
        <v>691.51</v>
      </c>
      <c r="H297" s="470">
        <v>691.51</v>
      </c>
      <c r="I297" s="471">
        <v>23.72</v>
      </c>
      <c r="J297" s="471"/>
    </row>
    <row r="298" spans="1:10" ht="38.25" hidden="1" outlineLevel="4">
      <c r="A298" s="472" t="s">
        <v>925</v>
      </c>
      <c r="B298" s="473" t="s">
        <v>1013</v>
      </c>
      <c r="C298" s="474" t="s">
        <v>726</v>
      </c>
      <c r="D298" s="473" t="s">
        <v>727</v>
      </c>
      <c r="E298" s="475">
        <v>2915.1</v>
      </c>
      <c r="F298" s="475">
        <v>2915.1</v>
      </c>
      <c r="G298" s="475">
        <v>691.51</v>
      </c>
      <c r="H298" s="475">
        <v>691.51</v>
      </c>
      <c r="I298" s="471">
        <v>23.72</v>
      </c>
      <c r="J298" s="471"/>
    </row>
    <row r="299" spans="1:10" ht="25.5" hidden="1" outlineLevel="2">
      <c r="A299" s="462" t="s">
        <v>1014</v>
      </c>
      <c r="B299" s="463" t="s">
        <v>1015</v>
      </c>
      <c r="C299" s="464"/>
      <c r="D299" s="463"/>
      <c r="E299" s="465">
        <v>6334</v>
      </c>
      <c r="F299" s="465">
        <v>6334</v>
      </c>
      <c r="G299" s="465">
        <v>1698.73</v>
      </c>
      <c r="H299" s="465">
        <v>1698.73</v>
      </c>
      <c r="I299" s="466">
        <v>26.82</v>
      </c>
      <c r="J299" s="466"/>
    </row>
    <row r="300" spans="1:10" ht="76.5" hidden="1" outlineLevel="3">
      <c r="A300" s="467" t="s">
        <v>717</v>
      </c>
      <c r="B300" s="468" t="s">
        <v>1016</v>
      </c>
      <c r="C300" s="469"/>
      <c r="D300" s="468"/>
      <c r="E300" s="470">
        <v>6084</v>
      </c>
      <c r="F300" s="470">
        <v>6084</v>
      </c>
      <c r="G300" s="470">
        <v>1628.78</v>
      </c>
      <c r="H300" s="470">
        <v>1628.78</v>
      </c>
      <c r="I300" s="471">
        <v>26.77</v>
      </c>
      <c r="J300" s="471"/>
    </row>
    <row r="301" spans="1:10" ht="76.5" hidden="1" outlineLevel="4">
      <c r="A301" s="472" t="s">
        <v>717</v>
      </c>
      <c r="B301" s="473" t="s">
        <v>1016</v>
      </c>
      <c r="C301" s="474" t="s">
        <v>726</v>
      </c>
      <c r="D301" s="473" t="s">
        <v>727</v>
      </c>
      <c r="E301" s="475">
        <v>6084</v>
      </c>
      <c r="F301" s="475">
        <v>6084</v>
      </c>
      <c r="G301" s="475">
        <v>1628.78</v>
      </c>
      <c r="H301" s="475">
        <v>1628.78</v>
      </c>
      <c r="I301" s="471">
        <v>26.77</v>
      </c>
      <c r="J301" s="471"/>
    </row>
    <row r="302" spans="1:10" ht="25.5" hidden="1" outlineLevel="3">
      <c r="A302" s="467" t="s">
        <v>728</v>
      </c>
      <c r="B302" s="468" t="s">
        <v>1017</v>
      </c>
      <c r="C302" s="469"/>
      <c r="D302" s="468"/>
      <c r="E302" s="470">
        <v>250</v>
      </c>
      <c r="F302" s="470">
        <v>250</v>
      </c>
      <c r="G302" s="470">
        <v>69.95</v>
      </c>
      <c r="H302" s="470">
        <v>69.95</v>
      </c>
      <c r="I302" s="471">
        <v>27.98</v>
      </c>
      <c r="J302" s="471"/>
    </row>
    <row r="303" spans="1:10" ht="25.5" hidden="1" outlineLevel="4">
      <c r="A303" s="472" t="s">
        <v>728</v>
      </c>
      <c r="B303" s="473" t="s">
        <v>1017</v>
      </c>
      <c r="C303" s="474" t="s">
        <v>726</v>
      </c>
      <c r="D303" s="473" t="s">
        <v>727</v>
      </c>
      <c r="E303" s="475">
        <v>250</v>
      </c>
      <c r="F303" s="475">
        <v>250</v>
      </c>
      <c r="G303" s="475">
        <v>69.95</v>
      </c>
      <c r="H303" s="475">
        <v>69.95</v>
      </c>
      <c r="I303" s="471">
        <v>27.98</v>
      </c>
      <c r="J303" s="471"/>
    </row>
    <row r="304" spans="1:10" ht="25.5" hidden="1" outlineLevel="2">
      <c r="A304" s="462" t="s">
        <v>966</v>
      </c>
      <c r="B304" s="463" t="s">
        <v>1018</v>
      </c>
      <c r="C304" s="464"/>
      <c r="D304" s="463"/>
      <c r="E304" s="465">
        <v>721396.2</v>
      </c>
      <c r="F304" s="465">
        <v>721396.2</v>
      </c>
      <c r="G304" s="465">
        <v>0</v>
      </c>
      <c r="H304" s="465">
        <v>0</v>
      </c>
      <c r="I304" s="466">
        <v>0</v>
      </c>
      <c r="J304" s="466"/>
    </row>
    <row r="305" spans="1:10" ht="51" hidden="1" outlineLevel="3">
      <c r="A305" s="467" t="s">
        <v>1019</v>
      </c>
      <c r="B305" s="468" t="s">
        <v>1020</v>
      </c>
      <c r="C305" s="469"/>
      <c r="D305" s="468"/>
      <c r="E305" s="470">
        <v>721396.2</v>
      </c>
      <c r="F305" s="470">
        <v>721396.2</v>
      </c>
      <c r="G305" s="470">
        <v>0</v>
      </c>
      <c r="H305" s="470">
        <v>0</v>
      </c>
      <c r="I305" s="471">
        <v>0</v>
      </c>
      <c r="J305" s="471"/>
    </row>
    <row r="306" spans="1:10" ht="51" hidden="1" outlineLevel="4">
      <c r="A306" s="472" t="s">
        <v>1019</v>
      </c>
      <c r="B306" s="473" t="s">
        <v>1020</v>
      </c>
      <c r="C306" s="474" t="s">
        <v>818</v>
      </c>
      <c r="D306" s="473" t="s">
        <v>819</v>
      </c>
      <c r="E306" s="475">
        <v>721396.2</v>
      </c>
      <c r="F306" s="475">
        <v>721396.2</v>
      </c>
      <c r="G306" s="475">
        <v>0</v>
      </c>
      <c r="H306" s="475">
        <v>0</v>
      </c>
      <c r="I306" s="471">
        <v>0</v>
      </c>
      <c r="J306" s="476" t="s">
        <v>10</v>
      </c>
    </row>
    <row r="307" spans="1:10" ht="25.5" hidden="1" outlineLevel="2">
      <c r="A307" s="462" t="s">
        <v>972</v>
      </c>
      <c r="B307" s="463" t="s">
        <v>1021</v>
      </c>
      <c r="C307" s="464"/>
      <c r="D307" s="463"/>
      <c r="E307" s="465">
        <v>5747.3239400000002</v>
      </c>
      <c r="F307" s="465">
        <v>5747.3239400000002</v>
      </c>
      <c r="G307" s="465">
        <v>1868.8309899999999</v>
      </c>
      <c r="H307" s="465">
        <v>1867.8802900000001</v>
      </c>
      <c r="I307" s="466">
        <v>32.5</v>
      </c>
      <c r="J307" s="466"/>
    </row>
    <row r="308" spans="1:10" ht="51" hidden="1" outlineLevel="3">
      <c r="A308" s="467" t="s">
        <v>1022</v>
      </c>
      <c r="B308" s="468" t="s">
        <v>1023</v>
      </c>
      <c r="C308" s="469"/>
      <c r="D308" s="468"/>
      <c r="E308" s="470">
        <v>5747.3239400000002</v>
      </c>
      <c r="F308" s="470">
        <v>5747.3239400000002</v>
      </c>
      <c r="G308" s="470">
        <v>1868.8309899999999</v>
      </c>
      <c r="H308" s="470">
        <v>1867.8802900000001</v>
      </c>
      <c r="I308" s="471">
        <v>32.5</v>
      </c>
      <c r="J308" s="471"/>
    </row>
    <row r="309" spans="1:10" ht="51" hidden="1" outlineLevel="4">
      <c r="A309" s="472" t="s">
        <v>1022</v>
      </c>
      <c r="B309" s="473" t="s">
        <v>1023</v>
      </c>
      <c r="C309" s="474" t="s">
        <v>726</v>
      </c>
      <c r="D309" s="473" t="s">
        <v>727</v>
      </c>
      <c r="E309" s="475">
        <v>5747.3239400000002</v>
      </c>
      <c r="F309" s="475">
        <v>5747.3239400000002</v>
      </c>
      <c r="G309" s="475">
        <v>1868.8309899999999</v>
      </c>
      <c r="H309" s="475">
        <v>1867.8802900000001</v>
      </c>
      <c r="I309" s="471">
        <v>32.5</v>
      </c>
      <c r="J309" s="476" t="s">
        <v>10</v>
      </c>
    </row>
    <row r="310" spans="1:10" ht="25.5" hidden="1" outlineLevel="2">
      <c r="A310" s="462" t="s">
        <v>1024</v>
      </c>
      <c r="B310" s="463" t="s">
        <v>1025</v>
      </c>
      <c r="C310" s="464"/>
      <c r="D310" s="463"/>
      <c r="E310" s="465">
        <v>256457.1894</v>
      </c>
      <c r="F310" s="465">
        <v>256457.1894</v>
      </c>
      <c r="G310" s="465">
        <v>13645.69894</v>
      </c>
      <c r="H310" s="465">
        <v>13645.69894</v>
      </c>
      <c r="I310" s="466">
        <v>5.32</v>
      </c>
      <c r="J310" s="466"/>
    </row>
    <row r="311" spans="1:10" ht="25.5" hidden="1" outlineLevel="3">
      <c r="A311" s="467" t="s">
        <v>1026</v>
      </c>
      <c r="B311" s="468" t="s">
        <v>1027</v>
      </c>
      <c r="C311" s="469"/>
      <c r="D311" s="468"/>
      <c r="E311" s="470">
        <v>28280.7</v>
      </c>
      <c r="F311" s="470">
        <v>28280.7</v>
      </c>
      <c r="G311" s="470">
        <v>13645.69894</v>
      </c>
      <c r="H311" s="470">
        <v>13645.69894</v>
      </c>
      <c r="I311" s="471">
        <v>48.25</v>
      </c>
      <c r="J311" s="471"/>
    </row>
    <row r="312" spans="1:10" ht="25.5" hidden="1" outlineLevel="4">
      <c r="A312" s="472" t="s">
        <v>1026</v>
      </c>
      <c r="B312" s="473" t="s">
        <v>1027</v>
      </c>
      <c r="C312" s="474" t="s">
        <v>726</v>
      </c>
      <c r="D312" s="473" t="s">
        <v>727</v>
      </c>
      <c r="E312" s="475">
        <v>28280.7</v>
      </c>
      <c r="F312" s="475">
        <v>28280.7</v>
      </c>
      <c r="G312" s="475">
        <v>13645.69894</v>
      </c>
      <c r="H312" s="475">
        <v>13645.69894</v>
      </c>
      <c r="I312" s="471">
        <v>48.25</v>
      </c>
      <c r="J312" s="471"/>
    </row>
    <row r="313" spans="1:10" ht="63.75" hidden="1" outlineLevel="3">
      <c r="A313" s="467" t="s">
        <v>1028</v>
      </c>
      <c r="B313" s="468" t="s">
        <v>1029</v>
      </c>
      <c r="C313" s="469"/>
      <c r="D313" s="468"/>
      <c r="E313" s="470">
        <v>228176.48939999999</v>
      </c>
      <c r="F313" s="470">
        <v>228176.48939999999</v>
      </c>
      <c r="G313" s="470">
        <v>0</v>
      </c>
      <c r="H313" s="470">
        <v>0</v>
      </c>
      <c r="I313" s="471">
        <v>0</v>
      </c>
      <c r="J313" s="471"/>
    </row>
    <row r="314" spans="1:10" ht="63.75" hidden="1" outlineLevel="4">
      <c r="A314" s="472" t="s">
        <v>1028</v>
      </c>
      <c r="B314" s="473" t="s">
        <v>1029</v>
      </c>
      <c r="C314" s="474" t="s">
        <v>726</v>
      </c>
      <c r="D314" s="473" t="s">
        <v>727</v>
      </c>
      <c r="E314" s="475">
        <v>228176.48939999999</v>
      </c>
      <c r="F314" s="475">
        <v>228176.48939999999</v>
      </c>
      <c r="G314" s="475">
        <v>0</v>
      </c>
      <c r="H314" s="475">
        <v>0</v>
      </c>
      <c r="I314" s="471">
        <v>0</v>
      </c>
      <c r="J314" s="476" t="s">
        <v>10</v>
      </c>
    </row>
    <row r="315" spans="1:10" ht="51" hidden="1" outlineLevel="2">
      <c r="A315" s="462" t="s">
        <v>1030</v>
      </c>
      <c r="B315" s="463" t="s">
        <v>1031</v>
      </c>
      <c r="C315" s="464"/>
      <c r="D315" s="463"/>
      <c r="E315" s="465">
        <v>498836.01299999998</v>
      </c>
      <c r="F315" s="465">
        <v>498836.01299999998</v>
      </c>
      <c r="G315" s="465">
        <v>76076.669899999994</v>
      </c>
      <c r="H315" s="465">
        <v>74606.055250000005</v>
      </c>
      <c r="I315" s="466">
        <v>14.96</v>
      </c>
      <c r="J315" s="466"/>
    </row>
    <row r="316" spans="1:10" ht="76.5" hidden="1" outlineLevel="3">
      <c r="A316" s="467" t="s">
        <v>1032</v>
      </c>
      <c r="B316" s="468" t="s">
        <v>1033</v>
      </c>
      <c r="C316" s="469"/>
      <c r="D316" s="468"/>
      <c r="E316" s="470">
        <v>498836.01299999998</v>
      </c>
      <c r="F316" s="470">
        <v>498836.01299999998</v>
      </c>
      <c r="G316" s="470">
        <v>76076.669899999994</v>
      </c>
      <c r="H316" s="470">
        <v>74606.055250000005</v>
      </c>
      <c r="I316" s="471">
        <v>14.96</v>
      </c>
      <c r="J316" s="471"/>
    </row>
    <row r="317" spans="1:10" ht="76.5" hidden="1" outlineLevel="4">
      <c r="A317" s="472" t="s">
        <v>1032</v>
      </c>
      <c r="B317" s="473" t="s">
        <v>1033</v>
      </c>
      <c r="C317" s="474" t="s">
        <v>818</v>
      </c>
      <c r="D317" s="473" t="s">
        <v>819</v>
      </c>
      <c r="E317" s="475">
        <v>498836.01299999998</v>
      </c>
      <c r="F317" s="475">
        <v>498836.01299999998</v>
      </c>
      <c r="G317" s="475">
        <v>76076.669899999994</v>
      </c>
      <c r="H317" s="475">
        <v>74606.055250000005</v>
      </c>
      <c r="I317" s="471">
        <v>14.96</v>
      </c>
      <c r="J317" s="476" t="s">
        <v>10</v>
      </c>
    </row>
    <row r="318" spans="1:10" ht="38.25" hidden="1" outlineLevel="1">
      <c r="A318" s="457" t="s">
        <v>1034</v>
      </c>
      <c r="B318" s="458" t="s">
        <v>1035</v>
      </c>
      <c r="C318" s="459"/>
      <c r="D318" s="458"/>
      <c r="E318" s="460">
        <v>202957.0937</v>
      </c>
      <c r="F318" s="460">
        <v>202857.0937</v>
      </c>
      <c r="G318" s="460">
        <v>88296.519769999999</v>
      </c>
      <c r="H318" s="460">
        <v>83160.904020000002</v>
      </c>
      <c r="I318" s="461">
        <v>40.97</v>
      </c>
      <c r="J318" s="461"/>
    </row>
    <row r="319" spans="1:10" ht="63.75" hidden="1" outlineLevel="2">
      <c r="A319" s="462" t="s">
        <v>1036</v>
      </c>
      <c r="B319" s="463" t="s">
        <v>1037</v>
      </c>
      <c r="C319" s="464"/>
      <c r="D319" s="463"/>
      <c r="E319" s="465">
        <v>85211.697620000006</v>
      </c>
      <c r="F319" s="465">
        <v>85211.697620000006</v>
      </c>
      <c r="G319" s="465">
        <v>44535.98648</v>
      </c>
      <c r="H319" s="465">
        <v>39400.370730000002</v>
      </c>
      <c r="I319" s="466">
        <v>46.24</v>
      </c>
      <c r="J319" s="466"/>
    </row>
    <row r="320" spans="1:10" ht="25.5" hidden="1" outlineLevel="3">
      <c r="A320" s="467" t="s">
        <v>888</v>
      </c>
      <c r="B320" s="468" t="s">
        <v>1038</v>
      </c>
      <c r="C320" s="469"/>
      <c r="D320" s="468"/>
      <c r="E320" s="470">
        <v>74946.583620000005</v>
      </c>
      <c r="F320" s="470">
        <v>74946.583620000005</v>
      </c>
      <c r="G320" s="470">
        <v>39439.771249999998</v>
      </c>
      <c r="H320" s="470">
        <v>34806.804669999998</v>
      </c>
      <c r="I320" s="471">
        <v>46.44</v>
      </c>
      <c r="J320" s="471"/>
    </row>
    <row r="321" spans="1:10" ht="25.5" hidden="1" outlineLevel="4">
      <c r="A321" s="472" t="s">
        <v>888</v>
      </c>
      <c r="B321" s="473" t="s">
        <v>1038</v>
      </c>
      <c r="C321" s="474" t="s">
        <v>726</v>
      </c>
      <c r="D321" s="473" t="s">
        <v>727</v>
      </c>
      <c r="E321" s="475">
        <v>74946.583620000005</v>
      </c>
      <c r="F321" s="475">
        <v>74946.583620000005</v>
      </c>
      <c r="G321" s="475">
        <v>39439.771249999998</v>
      </c>
      <c r="H321" s="475">
        <v>34806.804669999998</v>
      </c>
      <c r="I321" s="471">
        <v>46.44</v>
      </c>
      <c r="J321" s="471"/>
    </row>
    <row r="322" spans="1:10" ht="38.25" hidden="1" outlineLevel="3">
      <c r="A322" s="467" t="s">
        <v>869</v>
      </c>
      <c r="B322" s="468" t="s">
        <v>1039</v>
      </c>
      <c r="C322" s="469"/>
      <c r="D322" s="468"/>
      <c r="E322" s="470">
        <v>2670.9140000000002</v>
      </c>
      <c r="F322" s="470">
        <v>2670.9140000000002</v>
      </c>
      <c r="G322" s="470">
        <v>1269.6941899999999</v>
      </c>
      <c r="H322" s="470">
        <v>1202.89123</v>
      </c>
      <c r="I322" s="471">
        <v>45.04</v>
      </c>
      <c r="J322" s="471"/>
    </row>
    <row r="323" spans="1:10" ht="38.25" hidden="1" outlineLevel="4">
      <c r="A323" s="472" t="s">
        <v>869</v>
      </c>
      <c r="B323" s="473" t="s">
        <v>1039</v>
      </c>
      <c r="C323" s="474" t="s">
        <v>726</v>
      </c>
      <c r="D323" s="473" t="s">
        <v>727</v>
      </c>
      <c r="E323" s="475">
        <v>2670.9140000000002</v>
      </c>
      <c r="F323" s="475">
        <v>2670.9140000000002</v>
      </c>
      <c r="G323" s="475">
        <v>1269.6941899999999</v>
      </c>
      <c r="H323" s="475">
        <v>1202.89123</v>
      </c>
      <c r="I323" s="471">
        <v>45.04</v>
      </c>
      <c r="J323" s="471"/>
    </row>
    <row r="324" spans="1:10" ht="63.75" hidden="1" outlineLevel="3">
      <c r="A324" s="467" t="s">
        <v>62</v>
      </c>
      <c r="B324" s="468" t="s">
        <v>1040</v>
      </c>
      <c r="C324" s="469"/>
      <c r="D324" s="468"/>
      <c r="E324" s="470">
        <v>890</v>
      </c>
      <c r="F324" s="470">
        <v>890</v>
      </c>
      <c r="G324" s="470">
        <v>41.039000000000001</v>
      </c>
      <c r="H324" s="470">
        <v>39.856000000000002</v>
      </c>
      <c r="I324" s="471">
        <v>4.4800000000000004</v>
      </c>
      <c r="J324" s="471"/>
    </row>
    <row r="325" spans="1:10" ht="63.75" hidden="1" outlineLevel="4">
      <c r="A325" s="472" t="s">
        <v>62</v>
      </c>
      <c r="B325" s="473" t="s">
        <v>1040</v>
      </c>
      <c r="C325" s="474" t="s">
        <v>726</v>
      </c>
      <c r="D325" s="473" t="s">
        <v>727</v>
      </c>
      <c r="E325" s="475">
        <v>890</v>
      </c>
      <c r="F325" s="475">
        <v>890</v>
      </c>
      <c r="G325" s="475">
        <v>41.039000000000001</v>
      </c>
      <c r="H325" s="475">
        <v>39.856000000000002</v>
      </c>
      <c r="I325" s="471">
        <v>4.4800000000000004</v>
      </c>
      <c r="J325" s="471"/>
    </row>
    <row r="326" spans="1:10" ht="76.5" hidden="1" outlineLevel="3">
      <c r="A326" s="467" t="s">
        <v>157</v>
      </c>
      <c r="B326" s="468" t="s">
        <v>1041</v>
      </c>
      <c r="C326" s="469"/>
      <c r="D326" s="468"/>
      <c r="E326" s="470">
        <v>100</v>
      </c>
      <c r="F326" s="470">
        <v>100</v>
      </c>
      <c r="G326" s="470">
        <v>0</v>
      </c>
      <c r="H326" s="470">
        <v>0</v>
      </c>
      <c r="I326" s="471">
        <v>0</v>
      </c>
      <c r="J326" s="471"/>
    </row>
    <row r="327" spans="1:10" ht="76.5" hidden="1" outlineLevel="4">
      <c r="A327" s="472" t="s">
        <v>157</v>
      </c>
      <c r="B327" s="473" t="s">
        <v>1041</v>
      </c>
      <c r="C327" s="474" t="s">
        <v>726</v>
      </c>
      <c r="D327" s="473" t="s">
        <v>727</v>
      </c>
      <c r="E327" s="475">
        <v>100</v>
      </c>
      <c r="F327" s="475">
        <v>100</v>
      </c>
      <c r="G327" s="475">
        <v>0</v>
      </c>
      <c r="H327" s="475">
        <v>0</v>
      </c>
      <c r="I327" s="471">
        <v>0</v>
      </c>
      <c r="J327" s="471"/>
    </row>
    <row r="328" spans="1:10" ht="76.5" hidden="1" outlineLevel="3">
      <c r="A328" s="467" t="s">
        <v>1042</v>
      </c>
      <c r="B328" s="468" t="s">
        <v>1043</v>
      </c>
      <c r="C328" s="469"/>
      <c r="D328" s="468"/>
      <c r="E328" s="470">
        <v>50</v>
      </c>
      <c r="F328" s="470">
        <v>50</v>
      </c>
      <c r="G328" s="470">
        <v>0</v>
      </c>
      <c r="H328" s="470">
        <v>0</v>
      </c>
      <c r="I328" s="471">
        <v>0</v>
      </c>
      <c r="J328" s="471"/>
    </row>
    <row r="329" spans="1:10" ht="76.5" hidden="1" outlineLevel="4">
      <c r="A329" s="472" t="s">
        <v>1042</v>
      </c>
      <c r="B329" s="473" t="s">
        <v>1043</v>
      </c>
      <c r="C329" s="474" t="s">
        <v>726</v>
      </c>
      <c r="D329" s="473" t="s">
        <v>727</v>
      </c>
      <c r="E329" s="475">
        <v>50</v>
      </c>
      <c r="F329" s="475">
        <v>50</v>
      </c>
      <c r="G329" s="475">
        <v>0</v>
      </c>
      <c r="H329" s="475">
        <v>0</v>
      </c>
      <c r="I329" s="471">
        <v>0</v>
      </c>
      <c r="J329" s="471"/>
    </row>
    <row r="330" spans="1:10" ht="102" hidden="1" outlineLevel="3">
      <c r="A330" s="467" t="s">
        <v>1044</v>
      </c>
      <c r="B330" s="468" t="s">
        <v>1045</v>
      </c>
      <c r="C330" s="469"/>
      <c r="D330" s="468"/>
      <c r="E330" s="470">
        <v>6554.2</v>
      </c>
      <c r="F330" s="470">
        <v>6554.2</v>
      </c>
      <c r="G330" s="470">
        <v>3785.4820399999999</v>
      </c>
      <c r="H330" s="470">
        <v>3350.8188300000002</v>
      </c>
      <c r="I330" s="471">
        <v>51.12</v>
      </c>
      <c r="J330" s="471"/>
    </row>
    <row r="331" spans="1:10" ht="102" hidden="1" outlineLevel="4">
      <c r="A331" s="472" t="s">
        <v>1044</v>
      </c>
      <c r="B331" s="473" t="s">
        <v>1045</v>
      </c>
      <c r="C331" s="474" t="s">
        <v>726</v>
      </c>
      <c r="D331" s="473" t="s">
        <v>727</v>
      </c>
      <c r="E331" s="475">
        <v>6554.2</v>
      </c>
      <c r="F331" s="475">
        <v>6554.2</v>
      </c>
      <c r="G331" s="475">
        <v>3785.4820399999999</v>
      </c>
      <c r="H331" s="475">
        <v>3350.8188300000002</v>
      </c>
      <c r="I331" s="471">
        <v>51.12</v>
      </c>
      <c r="J331" s="476" t="s">
        <v>10</v>
      </c>
    </row>
    <row r="332" spans="1:10" ht="76.5" hidden="1" outlineLevel="2">
      <c r="A332" s="462" t="s">
        <v>1046</v>
      </c>
      <c r="B332" s="463" t="s">
        <v>1047</v>
      </c>
      <c r="C332" s="464"/>
      <c r="D332" s="463"/>
      <c r="E332" s="465">
        <v>117745.39608000001</v>
      </c>
      <c r="F332" s="465">
        <v>117645.39608000001</v>
      </c>
      <c r="G332" s="465">
        <v>43760.533289999999</v>
      </c>
      <c r="H332" s="465">
        <v>43760.533289999999</v>
      </c>
      <c r="I332" s="466">
        <v>37.17</v>
      </c>
      <c r="J332" s="466"/>
    </row>
    <row r="333" spans="1:10" ht="76.5" hidden="1" outlineLevel="3">
      <c r="A333" s="467" t="s">
        <v>717</v>
      </c>
      <c r="B333" s="468" t="s">
        <v>1048</v>
      </c>
      <c r="C333" s="469"/>
      <c r="D333" s="468"/>
      <c r="E333" s="470">
        <v>92507.302079999994</v>
      </c>
      <c r="F333" s="470">
        <v>92507.302079999994</v>
      </c>
      <c r="G333" s="470">
        <v>37157.681960000002</v>
      </c>
      <c r="H333" s="470">
        <v>37157.681960000002</v>
      </c>
      <c r="I333" s="471">
        <v>40.17</v>
      </c>
      <c r="J333" s="471"/>
    </row>
    <row r="334" spans="1:10" ht="76.5" hidden="1" outlineLevel="4">
      <c r="A334" s="472" t="s">
        <v>717</v>
      </c>
      <c r="B334" s="473" t="s">
        <v>1048</v>
      </c>
      <c r="C334" s="474" t="s">
        <v>726</v>
      </c>
      <c r="D334" s="473" t="s">
        <v>727</v>
      </c>
      <c r="E334" s="475">
        <v>92507.302079999994</v>
      </c>
      <c r="F334" s="475">
        <v>92507.302079999994</v>
      </c>
      <c r="G334" s="475">
        <v>37157.681960000002</v>
      </c>
      <c r="H334" s="475">
        <v>37157.681960000002</v>
      </c>
      <c r="I334" s="471">
        <v>40.17</v>
      </c>
      <c r="J334" s="471"/>
    </row>
    <row r="335" spans="1:10" ht="63.75" hidden="1" outlineLevel="3">
      <c r="A335" s="467" t="s">
        <v>62</v>
      </c>
      <c r="B335" s="468" t="s">
        <v>1049</v>
      </c>
      <c r="C335" s="469"/>
      <c r="D335" s="468"/>
      <c r="E335" s="470">
        <v>25017.878199999999</v>
      </c>
      <c r="F335" s="470">
        <v>25017.878199999999</v>
      </c>
      <c r="G335" s="470">
        <v>6539.7842300000002</v>
      </c>
      <c r="H335" s="470">
        <v>6539.7842300000002</v>
      </c>
      <c r="I335" s="471">
        <v>26.14</v>
      </c>
      <c r="J335" s="471"/>
    </row>
    <row r="336" spans="1:10" ht="63.75" hidden="1" outlineLevel="4">
      <c r="A336" s="472" t="s">
        <v>62</v>
      </c>
      <c r="B336" s="473" t="s">
        <v>1049</v>
      </c>
      <c r="C336" s="474" t="s">
        <v>726</v>
      </c>
      <c r="D336" s="473" t="s">
        <v>727</v>
      </c>
      <c r="E336" s="475">
        <v>25017.878199999999</v>
      </c>
      <c r="F336" s="475">
        <v>25017.878199999999</v>
      </c>
      <c r="G336" s="475">
        <v>6539.7842300000002</v>
      </c>
      <c r="H336" s="475">
        <v>6539.7842300000002</v>
      </c>
      <c r="I336" s="471">
        <v>26.14</v>
      </c>
      <c r="J336" s="471"/>
    </row>
    <row r="337" spans="1:10" ht="76.5" hidden="1" outlineLevel="3">
      <c r="A337" s="467" t="s">
        <v>157</v>
      </c>
      <c r="B337" s="468" t="s">
        <v>1050</v>
      </c>
      <c r="C337" s="469"/>
      <c r="D337" s="468"/>
      <c r="E337" s="470">
        <v>220.2158</v>
      </c>
      <c r="F337" s="470">
        <v>120.2158</v>
      </c>
      <c r="G337" s="470">
        <v>63.067100000000003</v>
      </c>
      <c r="H337" s="470">
        <v>63.067100000000003</v>
      </c>
      <c r="I337" s="471">
        <v>28.64</v>
      </c>
      <c r="J337" s="471"/>
    </row>
    <row r="338" spans="1:10" ht="76.5" hidden="1" outlineLevel="4">
      <c r="A338" s="472" t="s">
        <v>157</v>
      </c>
      <c r="B338" s="473" t="s">
        <v>1050</v>
      </c>
      <c r="C338" s="474" t="s">
        <v>726</v>
      </c>
      <c r="D338" s="473" t="s">
        <v>727</v>
      </c>
      <c r="E338" s="475">
        <v>220.2158</v>
      </c>
      <c r="F338" s="475">
        <v>120.2158</v>
      </c>
      <c r="G338" s="475">
        <v>63.067100000000003</v>
      </c>
      <c r="H338" s="475">
        <v>63.067100000000003</v>
      </c>
      <c r="I338" s="471">
        <v>28.64</v>
      </c>
      <c r="J338" s="471"/>
    </row>
    <row r="339" spans="1:10" ht="30.75" collapsed="1" thickBot="1">
      <c r="A339" s="452" t="s">
        <v>1051</v>
      </c>
      <c r="B339" s="453" t="s">
        <v>1052</v>
      </c>
      <c r="C339" s="454"/>
      <c r="D339" s="453"/>
      <c r="E339" s="455">
        <v>17138231.741909999</v>
      </c>
      <c r="F339" s="455">
        <v>17133810.910739999</v>
      </c>
      <c r="G339" s="455">
        <v>7611155.8873600001</v>
      </c>
      <c r="H339" s="455">
        <v>7232557.8358100001</v>
      </c>
      <c r="I339" s="456">
        <v>42.2</v>
      </c>
      <c r="J339" s="456"/>
    </row>
    <row r="340" spans="1:10" ht="38.25" hidden="1" outlineLevel="1">
      <c r="A340" s="457" t="s">
        <v>1053</v>
      </c>
      <c r="B340" s="458" t="s">
        <v>1054</v>
      </c>
      <c r="C340" s="459"/>
      <c r="D340" s="458"/>
      <c r="E340" s="460">
        <v>2823265.8607999999</v>
      </c>
      <c r="F340" s="460">
        <v>2819225.4720399999</v>
      </c>
      <c r="G340" s="460">
        <v>1528313.1427</v>
      </c>
      <c r="H340" s="460">
        <v>1315489.02391</v>
      </c>
      <c r="I340" s="461">
        <v>46.59</v>
      </c>
      <c r="J340" s="461"/>
    </row>
    <row r="341" spans="1:10" ht="63.75" hidden="1" outlineLevel="2">
      <c r="A341" s="462" t="s">
        <v>1055</v>
      </c>
      <c r="B341" s="463" t="s">
        <v>1056</v>
      </c>
      <c r="C341" s="464"/>
      <c r="D341" s="463"/>
      <c r="E341" s="465">
        <v>41521.760799999996</v>
      </c>
      <c r="F341" s="465">
        <v>37481.372040000002</v>
      </c>
      <c r="G341" s="465">
        <v>9703.7405199999994</v>
      </c>
      <c r="H341" s="465">
        <v>9648.1328099999992</v>
      </c>
      <c r="I341" s="466">
        <v>23.24</v>
      </c>
      <c r="J341" s="466"/>
    </row>
    <row r="342" spans="1:10" ht="76.5" hidden="1" outlineLevel="3">
      <c r="A342" s="467" t="s">
        <v>717</v>
      </c>
      <c r="B342" s="468" t="s">
        <v>1057</v>
      </c>
      <c r="C342" s="469"/>
      <c r="D342" s="468"/>
      <c r="E342" s="470">
        <v>14926.3</v>
      </c>
      <c r="F342" s="470">
        <v>14926.3</v>
      </c>
      <c r="G342" s="470">
        <v>2463.7405199999998</v>
      </c>
      <c r="H342" s="470">
        <v>2463.7405199999998</v>
      </c>
      <c r="I342" s="471">
        <v>16.510000000000002</v>
      </c>
      <c r="J342" s="471"/>
    </row>
    <row r="343" spans="1:10" ht="76.5" hidden="1" outlineLevel="4">
      <c r="A343" s="472" t="s">
        <v>717</v>
      </c>
      <c r="B343" s="473" t="s">
        <v>1057</v>
      </c>
      <c r="C343" s="474" t="s">
        <v>1058</v>
      </c>
      <c r="D343" s="473" t="s">
        <v>1059</v>
      </c>
      <c r="E343" s="475">
        <v>14926.3</v>
      </c>
      <c r="F343" s="475">
        <v>14926.3</v>
      </c>
      <c r="G343" s="475">
        <v>2463.7405199999998</v>
      </c>
      <c r="H343" s="475">
        <v>2463.7405199999998</v>
      </c>
      <c r="I343" s="471">
        <v>16.510000000000002</v>
      </c>
      <c r="J343" s="471"/>
    </row>
    <row r="344" spans="1:10" ht="25.5" hidden="1" outlineLevel="3">
      <c r="A344" s="467" t="s">
        <v>728</v>
      </c>
      <c r="B344" s="468" t="s">
        <v>1060</v>
      </c>
      <c r="C344" s="469"/>
      <c r="D344" s="468"/>
      <c r="E344" s="470">
        <v>26595.460800000001</v>
      </c>
      <c r="F344" s="470">
        <v>22555.072039999999</v>
      </c>
      <c r="G344" s="470">
        <v>7240</v>
      </c>
      <c r="H344" s="470">
        <v>7184.3922899999998</v>
      </c>
      <c r="I344" s="471">
        <v>27.01</v>
      </c>
      <c r="J344" s="471"/>
    </row>
    <row r="345" spans="1:10" ht="25.5" hidden="1" outlineLevel="4">
      <c r="A345" s="472" t="s">
        <v>728</v>
      </c>
      <c r="B345" s="473" t="s">
        <v>1060</v>
      </c>
      <c r="C345" s="474" t="s">
        <v>818</v>
      </c>
      <c r="D345" s="473" t="s">
        <v>819</v>
      </c>
      <c r="E345" s="475">
        <v>26595.460800000001</v>
      </c>
      <c r="F345" s="475">
        <v>22555.072039999999</v>
      </c>
      <c r="G345" s="475">
        <v>7240</v>
      </c>
      <c r="H345" s="475">
        <v>7184.3922899999998</v>
      </c>
      <c r="I345" s="471">
        <v>27.01</v>
      </c>
      <c r="J345" s="471"/>
    </row>
    <row r="346" spans="1:10" ht="114.75" hidden="1" outlineLevel="2">
      <c r="A346" s="462" t="s">
        <v>1061</v>
      </c>
      <c r="B346" s="463" t="s">
        <v>1062</v>
      </c>
      <c r="C346" s="464"/>
      <c r="D346" s="463"/>
      <c r="E346" s="465">
        <v>2733859.5</v>
      </c>
      <c r="F346" s="465">
        <v>2733859.5</v>
      </c>
      <c r="G346" s="465">
        <v>1511182.7140299999</v>
      </c>
      <c r="H346" s="465">
        <v>1298414.2029500001</v>
      </c>
      <c r="I346" s="466">
        <v>47.49</v>
      </c>
      <c r="J346" s="466"/>
    </row>
    <row r="347" spans="1:10" ht="76.5" hidden="1" outlineLevel="3">
      <c r="A347" s="467" t="s">
        <v>717</v>
      </c>
      <c r="B347" s="468" t="s">
        <v>1063</v>
      </c>
      <c r="C347" s="469"/>
      <c r="D347" s="468"/>
      <c r="E347" s="470">
        <v>2599985.4</v>
      </c>
      <c r="F347" s="470">
        <v>2599985.4</v>
      </c>
      <c r="G347" s="470">
        <v>1443448.3803999999</v>
      </c>
      <c r="H347" s="470">
        <v>1235712.3474000001</v>
      </c>
      <c r="I347" s="471">
        <v>47.53</v>
      </c>
      <c r="J347" s="471"/>
    </row>
    <row r="348" spans="1:10" ht="76.5" hidden="1" outlineLevel="4">
      <c r="A348" s="472" t="s">
        <v>717</v>
      </c>
      <c r="B348" s="473" t="s">
        <v>1063</v>
      </c>
      <c r="C348" s="474" t="s">
        <v>1058</v>
      </c>
      <c r="D348" s="473" t="s">
        <v>1059</v>
      </c>
      <c r="E348" s="475">
        <v>2599985.4</v>
      </c>
      <c r="F348" s="475">
        <v>2599985.4</v>
      </c>
      <c r="G348" s="475">
        <v>1443448.3803999999</v>
      </c>
      <c r="H348" s="475">
        <v>1235712.3474000001</v>
      </c>
      <c r="I348" s="471">
        <v>47.53</v>
      </c>
      <c r="J348" s="471"/>
    </row>
    <row r="349" spans="1:10" ht="63.75" hidden="1" outlineLevel="3">
      <c r="A349" s="467" t="s">
        <v>62</v>
      </c>
      <c r="B349" s="468" t="s">
        <v>1064</v>
      </c>
      <c r="C349" s="469"/>
      <c r="D349" s="468"/>
      <c r="E349" s="470">
        <v>35660.400000000001</v>
      </c>
      <c r="F349" s="470">
        <v>35660.400000000001</v>
      </c>
      <c r="G349" s="470">
        <v>4844.0897599999998</v>
      </c>
      <c r="H349" s="470">
        <v>4844.0897599999998</v>
      </c>
      <c r="I349" s="471">
        <v>13.58</v>
      </c>
      <c r="J349" s="471"/>
    </row>
    <row r="350" spans="1:10" ht="63.75" hidden="1" outlineLevel="4">
      <c r="A350" s="472" t="s">
        <v>62</v>
      </c>
      <c r="B350" s="473" t="s">
        <v>1064</v>
      </c>
      <c r="C350" s="474" t="s">
        <v>1058</v>
      </c>
      <c r="D350" s="473" t="s">
        <v>1059</v>
      </c>
      <c r="E350" s="475">
        <v>35660.400000000001</v>
      </c>
      <c r="F350" s="475">
        <v>35660.400000000001</v>
      </c>
      <c r="G350" s="475">
        <v>4844.0897599999998</v>
      </c>
      <c r="H350" s="475">
        <v>4844.0897599999998</v>
      </c>
      <c r="I350" s="471">
        <v>13.58</v>
      </c>
      <c r="J350" s="471"/>
    </row>
    <row r="351" spans="1:10" ht="76.5" hidden="1" outlineLevel="3">
      <c r="A351" s="467" t="s">
        <v>157</v>
      </c>
      <c r="B351" s="468" t="s">
        <v>1065</v>
      </c>
      <c r="C351" s="469"/>
      <c r="D351" s="468"/>
      <c r="E351" s="470">
        <v>150</v>
      </c>
      <c r="F351" s="470">
        <v>150</v>
      </c>
      <c r="G351" s="470">
        <v>35.625329999999998</v>
      </c>
      <c r="H351" s="470">
        <v>35.625329999999998</v>
      </c>
      <c r="I351" s="471">
        <v>23.75</v>
      </c>
      <c r="J351" s="471"/>
    </row>
    <row r="352" spans="1:10" ht="76.5" hidden="1" outlineLevel="4">
      <c r="A352" s="472" t="s">
        <v>157</v>
      </c>
      <c r="B352" s="473" t="s">
        <v>1065</v>
      </c>
      <c r="C352" s="474" t="s">
        <v>1058</v>
      </c>
      <c r="D352" s="473" t="s">
        <v>1059</v>
      </c>
      <c r="E352" s="475">
        <v>150</v>
      </c>
      <c r="F352" s="475">
        <v>150</v>
      </c>
      <c r="G352" s="475">
        <v>35.625329999999998</v>
      </c>
      <c r="H352" s="475">
        <v>35.625329999999998</v>
      </c>
      <c r="I352" s="471">
        <v>23.75</v>
      </c>
      <c r="J352" s="471"/>
    </row>
    <row r="353" spans="1:10" ht="140.25" hidden="1" outlineLevel="3">
      <c r="A353" s="467" t="s">
        <v>857</v>
      </c>
      <c r="B353" s="468" t="s">
        <v>1066</v>
      </c>
      <c r="C353" s="469"/>
      <c r="D353" s="468"/>
      <c r="E353" s="470">
        <v>5855.4</v>
      </c>
      <c r="F353" s="470">
        <v>5855.4</v>
      </c>
      <c r="G353" s="470">
        <v>2818.51854</v>
      </c>
      <c r="H353" s="470">
        <v>2793.1505400000001</v>
      </c>
      <c r="I353" s="471">
        <v>47.7</v>
      </c>
      <c r="J353" s="471"/>
    </row>
    <row r="354" spans="1:10" ht="140.25" hidden="1" outlineLevel="4">
      <c r="A354" s="472" t="s">
        <v>857</v>
      </c>
      <c r="B354" s="473" t="s">
        <v>1066</v>
      </c>
      <c r="C354" s="474" t="s">
        <v>1058</v>
      </c>
      <c r="D354" s="473" t="s">
        <v>1059</v>
      </c>
      <c r="E354" s="475">
        <v>5855.4</v>
      </c>
      <c r="F354" s="475">
        <v>5855.4</v>
      </c>
      <c r="G354" s="475">
        <v>2818.51854</v>
      </c>
      <c r="H354" s="475">
        <v>2793.1505400000001</v>
      </c>
      <c r="I354" s="471">
        <v>47.7</v>
      </c>
      <c r="J354" s="471"/>
    </row>
    <row r="355" spans="1:10" ht="242.25" hidden="1" outlineLevel="3">
      <c r="A355" s="467" t="s">
        <v>1067</v>
      </c>
      <c r="B355" s="468" t="s">
        <v>1068</v>
      </c>
      <c r="C355" s="469"/>
      <c r="D355" s="468"/>
      <c r="E355" s="470">
        <v>91.2</v>
      </c>
      <c r="F355" s="470">
        <v>91.2</v>
      </c>
      <c r="G355" s="470">
        <v>0</v>
      </c>
      <c r="H355" s="470">
        <v>0</v>
      </c>
      <c r="I355" s="471">
        <v>0</v>
      </c>
      <c r="J355" s="471"/>
    </row>
    <row r="356" spans="1:10" ht="242.25" hidden="1" outlineLevel="4">
      <c r="A356" s="472" t="s">
        <v>1067</v>
      </c>
      <c r="B356" s="473" t="s">
        <v>1068</v>
      </c>
      <c r="C356" s="474" t="s">
        <v>1058</v>
      </c>
      <c r="D356" s="473" t="s">
        <v>1059</v>
      </c>
      <c r="E356" s="475">
        <v>91.2</v>
      </c>
      <c r="F356" s="475">
        <v>91.2</v>
      </c>
      <c r="G356" s="475">
        <v>0</v>
      </c>
      <c r="H356" s="475">
        <v>0</v>
      </c>
      <c r="I356" s="471">
        <v>0</v>
      </c>
      <c r="J356" s="476" t="s">
        <v>10</v>
      </c>
    </row>
    <row r="357" spans="1:10" ht="127.5" hidden="1" outlineLevel="3">
      <c r="A357" s="467" t="s">
        <v>1069</v>
      </c>
      <c r="B357" s="468" t="s">
        <v>1070</v>
      </c>
      <c r="C357" s="469"/>
      <c r="D357" s="468"/>
      <c r="E357" s="470">
        <v>92117.1</v>
      </c>
      <c r="F357" s="470">
        <v>92117.1</v>
      </c>
      <c r="G357" s="470">
        <v>60036.1</v>
      </c>
      <c r="H357" s="470">
        <v>55028.98992</v>
      </c>
      <c r="I357" s="471">
        <v>59.74</v>
      </c>
      <c r="J357" s="471"/>
    </row>
    <row r="358" spans="1:10" ht="127.5" hidden="1" outlineLevel="4">
      <c r="A358" s="472" t="s">
        <v>1069</v>
      </c>
      <c r="B358" s="473" t="s">
        <v>1070</v>
      </c>
      <c r="C358" s="474" t="s">
        <v>1058</v>
      </c>
      <c r="D358" s="473" t="s">
        <v>1059</v>
      </c>
      <c r="E358" s="475">
        <v>92117.1</v>
      </c>
      <c r="F358" s="475">
        <v>92117.1</v>
      </c>
      <c r="G358" s="475">
        <v>60036.1</v>
      </c>
      <c r="H358" s="475">
        <v>55028.98992</v>
      </c>
      <c r="I358" s="471">
        <v>59.74</v>
      </c>
      <c r="J358" s="471"/>
    </row>
    <row r="359" spans="1:10" ht="76.5" hidden="1" outlineLevel="2">
      <c r="A359" s="462" t="s">
        <v>1071</v>
      </c>
      <c r="B359" s="463" t="s">
        <v>1072</v>
      </c>
      <c r="C359" s="464"/>
      <c r="D359" s="463"/>
      <c r="E359" s="465">
        <v>43884.6</v>
      </c>
      <c r="F359" s="465">
        <v>43884.6</v>
      </c>
      <c r="G359" s="465">
        <v>3426.68815</v>
      </c>
      <c r="H359" s="465">
        <v>3426.68815</v>
      </c>
      <c r="I359" s="466">
        <v>7.81</v>
      </c>
      <c r="J359" s="466"/>
    </row>
    <row r="360" spans="1:10" ht="76.5" hidden="1" outlineLevel="3">
      <c r="A360" s="467" t="s">
        <v>717</v>
      </c>
      <c r="B360" s="468" t="s">
        <v>1073</v>
      </c>
      <c r="C360" s="469"/>
      <c r="D360" s="468"/>
      <c r="E360" s="470">
        <v>43884.6</v>
      </c>
      <c r="F360" s="470">
        <v>43884.6</v>
      </c>
      <c r="G360" s="470">
        <v>3426.68815</v>
      </c>
      <c r="H360" s="470">
        <v>3426.68815</v>
      </c>
      <c r="I360" s="471">
        <v>7.81</v>
      </c>
      <c r="J360" s="471"/>
    </row>
    <row r="361" spans="1:10" ht="76.5" hidden="1" outlineLevel="4">
      <c r="A361" s="472" t="s">
        <v>717</v>
      </c>
      <c r="B361" s="473" t="s">
        <v>1073</v>
      </c>
      <c r="C361" s="474" t="s">
        <v>1058</v>
      </c>
      <c r="D361" s="473" t="s">
        <v>1059</v>
      </c>
      <c r="E361" s="475">
        <v>43884.6</v>
      </c>
      <c r="F361" s="475">
        <v>43884.6</v>
      </c>
      <c r="G361" s="475">
        <v>3426.68815</v>
      </c>
      <c r="H361" s="475">
        <v>3426.68815</v>
      </c>
      <c r="I361" s="471">
        <v>7.81</v>
      </c>
      <c r="J361" s="471"/>
    </row>
    <row r="362" spans="1:10" ht="63.75" hidden="1" outlineLevel="2">
      <c r="A362" s="462" t="s">
        <v>1074</v>
      </c>
      <c r="B362" s="463" t="s">
        <v>1075</v>
      </c>
      <c r="C362" s="464"/>
      <c r="D362" s="463"/>
      <c r="E362" s="465">
        <v>4000</v>
      </c>
      <c r="F362" s="465">
        <v>4000</v>
      </c>
      <c r="G362" s="465">
        <v>4000</v>
      </c>
      <c r="H362" s="465">
        <v>4000</v>
      </c>
      <c r="I362" s="466">
        <v>100</v>
      </c>
      <c r="J362" s="466"/>
    </row>
    <row r="363" spans="1:10" ht="25.5" hidden="1" outlineLevel="3">
      <c r="A363" s="467" t="s">
        <v>721</v>
      </c>
      <c r="B363" s="468" t="s">
        <v>1076</v>
      </c>
      <c r="C363" s="469"/>
      <c r="D363" s="468"/>
      <c r="E363" s="470">
        <v>4000</v>
      </c>
      <c r="F363" s="470">
        <v>4000</v>
      </c>
      <c r="G363" s="470">
        <v>4000</v>
      </c>
      <c r="H363" s="470">
        <v>4000</v>
      </c>
      <c r="I363" s="471">
        <v>100</v>
      </c>
      <c r="J363" s="471"/>
    </row>
    <row r="364" spans="1:10" ht="25.5" hidden="1" outlineLevel="4">
      <c r="A364" s="472" t="s">
        <v>721</v>
      </c>
      <c r="B364" s="473" t="s">
        <v>1076</v>
      </c>
      <c r="C364" s="474" t="s">
        <v>1058</v>
      </c>
      <c r="D364" s="473" t="s">
        <v>1059</v>
      </c>
      <c r="E364" s="475">
        <v>4000</v>
      </c>
      <c r="F364" s="475">
        <v>4000</v>
      </c>
      <c r="G364" s="475">
        <v>4000</v>
      </c>
      <c r="H364" s="475">
        <v>4000</v>
      </c>
      <c r="I364" s="471">
        <v>100</v>
      </c>
      <c r="J364" s="471"/>
    </row>
    <row r="365" spans="1:10" ht="38.25" hidden="1" outlineLevel="1">
      <c r="A365" s="457" t="s">
        <v>1077</v>
      </c>
      <c r="B365" s="458" t="s">
        <v>1078</v>
      </c>
      <c r="C365" s="459"/>
      <c r="D365" s="458"/>
      <c r="E365" s="460">
        <v>12308604.039179999</v>
      </c>
      <c r="F365" s="460">
        <v>12308359.548350001</v>
      </c>
      <c r="G365" s="460">
        <v>5147275.9076899998</v>
      </c>
      <c r="H365" s="460">
        <v>5037250.4332100004</v>
      </c>
      <c r="I365" s="461">
        <v>40.92</v>
      </c>
      <c r="J365" s="461"/>
    </row>
    <row r="366" spans="1:10" ht="25.5" hidden="1" outlineLevel="2">
      <c r="A366" s="462" t="s">
        <v>1079</v>
      </c>
      <c r="B366" s="463" t="s">
        <v>1080</v>
      </c>
      <c r="C366" s="464"/>
      <c r="D366" s="463"/>
      <c r="E366" s="465">
        <v>21438.1</v>
      </c>
      <c r="F366" s="465">
        <v>21438.1</v>
      </c>
      <c r="G366" s="465">
        <v>9616.2076099999995</v>
      </c>
      <c r="H366" s="465">
        <v>8746.7756100000006</v>
      </c>
      <c r="I366" s="466">
        <v>40.799999999999997</v>
      </c>
      <c r="J366" s="466"/>
    </row>
    <row r="367" spans="1:10" ht="25.5" hidden="1" outlineLevel="3">
      <c r="A367" s="467" t="s">
        <v>823</v>
      </c>
      <c r="B367" s="468" t="s">
        <v>1081</v>
      </c>
      <c r="C367" s="469"/>
      <c r="D367" s="468"/>
      <c r="E367" s="470">
        <v>12569.1</v>
      </c>
      <c r="F367" s="470">
        <v>12569.1</v>
      </c>
      <c r="G367" s="470">
        <v>3154.6514000000002</v>
      </c>
      <c r="H367" s="470">
        <v>2933.3524000000002</v>
      </c>
      <c r="I367" s="471">
        <v>23.34</v>
      </c>
      <c r="J367" s="471"/>
    </row>
    <row r="368" spans="1:10" ht="25.5" hidden="1" outlineLevel="4">
      <c r="A368" s="472" t="s">
        <v>823</v>
      </c>
      <c r="B368" s="473" t="s">
        <v>1081</v>
      </c>
      <c r="C368" s="474" t="s">
        <v>1058</v>
      </c>
      <c r="D368" s="473" t="s">
        <v>1059</v>
      </c>
      <c r="E368" s="475">
        <v>12569.1</v>
      </c>
      <c r="F368" s="475">
        <v>12569.1</v>
      </c>
      <c r="G368" s="475">
        <v>3154.6514000000002</v>
      </c>
      <c r="H368" s="475">
        <v>2933.3524000000002</v>
      </c>
      <c r="I368" s="471">
        <v>23.34</v>
      </c>
      <c r="J368" s="471"/>
    </row>
    <row r="369" spans="1:10" ht="38.25" hidden="1" outlineLevel="3">
      <c r="A369" s="467" t="s">
        <v>1082</v>
      </c>
      <c r="B369" s="468" t="s">
        <v>1083</v>
      </c>
      <c r="C369" s="469"/>
      <c r="D369" s="468"/>
      <c r="E369" s="470">
        <v>2010.4</v>
      </c>
      <c r="F369" s="470">
        <v>2010.4</v>
      </c>
      <c r="G369" s="470">
        <v>1362.2656999999999</v>
      </c>
      <c r="H369" s="470">
        <v>714.1327</v>
      </c>
      <c r="I369" s="471">
        <v>35.520000000000003</v>
      </c>
      <c r="J369" s="471"/>
    </row>
    <row r="370" spans="1:10" ht="38.25" hidden="1" outlineLevel="4">
      <c r="A370" s="472" t="s">
        <v>1082</v>
      </c>
      <c r="B370" s="473" t="s">
        <v>1083</v>
      </c>
      <c r="C370" s="474" t="s">
        <v>1058</v>
      </c>
      <c r="D370" s="473" t="s">
        <v>1059</v>
      </c>
      <c r="E370" s="475">
        <v>2010.4</v>
      </c>
      <c r="F370" s="475">
        <v>2010.4</v>
      </c>
      <c r="G370" s="475">
        <v>1362.2656999999999</v>
      </c>
      <c r="H370" s="475">
        <v>714.1327</v>
      </c>
      <c r="I370" s="471">
        <v>35.520000000000003</v>
      </c>
      <c r="J370" s="471"/>
    </row>
    <row r="371" spans="1:10" ht="25.5" hidden="1" outlineLevel="3">
      <c r="A371" s="467" t="s">
        <v>721</v>
      </c>
      <c r="B371" s="468" t="s">
        <v>1084</v>
      </c>
      <c r="C371" s="469"/>
      <c r="D371" s="468"/>
      <c r="E371" s="470">
        <v>3800</v>
      </c>
      <c r="F371" s="470">
        <v>3800</v>
      </c>
      <c r="G371" s="470">
        <v>3800</v>
      </c>
      <c r="H371" s="470">
        <v>3800</v>
      </c>
      <c r="I371" s="471">
        <v>100</v>
      </c>
      <c r="J371" s="471"/>
    </row>
    <row r="372" spans="1:10" ht="25.5" hidden="1" outlineLevel="4">
      <c r="A372" s="472" t="s">
        <v>721</v>
      </c>
      <c r="B372" s="473" t="s">
        <v>1084</v>
      </c>
      <c r="C372" s="474" t="s">
        <v>1058</v>
      </c>
      <c r="D372" s="473" t="s">
        <v>1059</v>
      </c>
      <c r="E372" s="475">
        <v>3800</v>
      </c>
      <c r="F372" s="475">
        <v>3800</v>
      </c>
      <c r="G372" s="475">
        <v>3800</v>
      </c>
      <c r="H372" s="475">
        <v>3800</v>
      </c>
      <c r="I372" s="471">
        <v>100</v>
      </c>
      <c r="J372" s="471"/>
    </row>
    <row r="373" spans="1:10" ht="38.25" hidden="1" outlineLevel="3">
      <c r="A373" s="467" t="s">
        <v>1085</v>
      </c>
      <c r="B373" s="468" t="s">
        <v>1086</v>
      </c>
      <c r="C373" s="469"/>
      <c r="D373" s="468"/>
      <c r="E373" s="470">
        <v>3058.6</v>
      </c>
      <c r="F373" s="470">
        <v>3058.6</v>
      </c>
      <c r="G373" s="470">
        <v>1299.29051</v>
      </c>
      <c r="H373" s="470">
        <v>1299.29051</v>
      </c>
      <c r="I373" s="471">
        <v>42.48</v>
      </c>
      <c r="J373" s="471"/>
    </row>
    <row r="374" spans="1:10" ht="38.25" hidden="1" outlineLevel="4">
      <c r="A374" s="472" t="s">
        <v>1085</v>
      </c>
      <c r="B374" s="473" t="s">
        <v>1086</v>
      </c>
      <c r="C374" s="474" t="s">
        <v>1058</v>
      </c>
      <c r="D374" s="473" t="s">
        <v>1059</v>
      </c>
      <c r="E374" s="475">
        <v>3058.6</v>
      </c>
      <c r="F374" s="475">
        <v>3058.6</v>
      </c>
      <c r="G374" s="475">
        <v>1299.29051</v>
      </c>
      <c r="H374" s="475">
        <v>1299.29051</v>
      </c>
      <c r="I374" s="471">
        <v>42.48</v>
      </c>
      <c r="J374" s="471"/>
    </row>
    <row r="375" spans="1:10" ht="38.25" hidden="1" outlineLevel="2">
      <c r="A375" s="462" t="s">
        <v>1087</v>
      </c>
      <c r="B375" s="463" t="s">
        <v>1088</v>
      </c>
      <c r="C375" s="464"/>
      <c r="D375" s="463"/>
      <c r="E375" s="465">
        <v>71.5</v>
      </c>
      <c r="F375" s="465">
        <v>64.2</v>
      </c>
      <c r="G375" s="465">
        <v>64.2</v>
      </c>
      <c r="H375" s="465">
        <v>64.2</v>
      </c>
      <c r="I375" s="466">
        <v>89.79</v>
      </c>
      <c r="J375" s="466"/>
    </row>
    <row r="376" spans="1:10" ht="25.5" hidden="1" outlineLevel="3">
      <c r="A376" s="467" t="s">
        <v>823</v>
      </c>
      <c r="B376" s="468" t="s">
        <v>1089</v>
      </c>
      <c r="C376" s="469"/>
      <c r="D376" s="468"/>
      <c r="E376" s="470">
        <v>71.5</v>
      </c>
      <c r="F376" s="470">
        <v>64.2</v>
      </c>
      <c r="G376" s="470">
        <v>64.2</v>
      </c>
      <c r="H376" s="470">
        <v>64.2</v>
      </c>
      <c r="I376" s="471">
        <v>89.79</v>
      </c>
      <c r="J376" s="471"/>
    </row>
    <row r="377" spans="1:10" ht="25.5" hidden="1" outlineLevel="4">
      <c r="A377" s="472" t="s">
        <v>823</v>
      </c>
      <c r="B377" s="473" t="s">
        <v>1089</v>
      </c>
      <c r="C377" s="474" t="s">
        <v>911</v>
      </c>
      <c r="D377" s="473" t="s">
        <v>912</v>
      </c>
      <c r="E377" s="475">
        <v>71.5</v>
      </c>
      <c r="F377" s="475">
        <v>64.2</v>
      </c>
      <c r="G377" s="475">
        <v>64.2</v>
      </c>
      <c r="H377" s="475">
        <v>64.2</v>
      </c>
      <c r="I377" s="471">
        <v>89.79</v>
      </c>
      <c r="J377" s="471"/>
    </row>
    <row r="378" spans="1:10" ht="76.5" hidden="1" outlineLevel="2">
      <c r="A378" s="462" t="s">
        <v>1090</v>
      </c>
      <c r="B378" s="463" t="s">
        <v>1091</v>
      </c>
      <c r="C378" s="464"/>
      <c r="D378" s="463"/>
      <c r="E378" s="465">
        <v>12699.5</v>
      </c>
      <c r="F378" s="465">
        <v>12462.30917</v>
      </c>
      <c r="G378" s="465">
        <v>2943.5605300000002</v>
      </c>
      <c r="H378" s="465">
        <v>2482.9605299999998</v>
      </c>
      <c r="I378" s="466">
        <v>19.55</v>
      </c>
      <c r="J378" s="466"/>
    </row>
    <row r="379" spans="1:10" ht="25.5" hidden="1" outlineLevel="3">
      <c r="A379" s="467" t="s">
        <v>1092</v>
      </c>
      <c r="B379" s="468" t="s">
        <v>1093</v>
      </c>
      <c r="C379" s="469"/>
      <c r="D379" s="468"/>
      <c r="E379" s="470">
        <v>5796</v>
      </c>
      <c r="F379" s="470">
        <v>5558.8091700000004</v>
      </c>
      <c r="G379" s="470">
        <v>2010.16227</v>
      </c>
      <c r="H379" s="470">
        <v>1549.5622699999999</v>
      </c>
      <c r="I379" s="471">
        <v>26.74</v>
      </c>
      <c r="J379" s="471"/>
    </row>
    <row r="380" spans="1:10" ht="25.5" hidden="1" outlineLevel="4">
      <c r="A380" s="472" t="s">
        <v>1092</v>
      </c>
      <c r="B380" s="473" t="s">
        <v>1093</v>
      </c>
      <c r="C380" s="474" t="s">
        <v>911</v>
      </c>
      <c r="D380" s="473" t="s">
        <v>912</v>
      </c>
      <c r="E380" s="475">
        <v>726.5</v>
      </c>
      <c r="F380" s="475">
        <v>539</v>
      </c>
      <c r="G380" s="475">
        <v>539</v>
      </c>
      <c r="H380" s="475">
        <v>539</v>
      </c>
      <c r="I380" s="471">
        <v>74.19</v>
      </c>
      <c r="J380" s="471"/>
    </row>
    <row r="381" spans="1:10" ht="25.5" hidden="1" outlineLevel="4">
      <c r="A381" s="472" t="s">
        <v>1092</v>
      </c>
      <c r="B381" s="473" t="s">
        <v>1093</v>
      </c>
      <c r="C381" s="474" t="s">
        <v>1058</v>
      </c>
      <c r="D381" s="473" t="s">
        <v>1059</v>
      </c>
      <c r="E381" s="475">
        <v>5069.5</v>
      </c>
      <c r="F381" s="475">
        <v>5019.8091700000004</v>
      </c>
      <c r="G381" s="475">
        <v>1471.16227</v>
      </c>
      <c r="H381" s="475">
        <v>1010.56227</v>
      </c>
      <c r="I381" s="471">
        <v>19.93</v>
      </c>
      <c r="J381" s="471"/>
    </row>
    <row r="382" spans="1:10" ht="25.5" hidden="1" outlineLevel="3">
      <c r="A382" s="467" t="s">
        <v>728</v>
      </c>
      <c r="B382" s="468" t="s">
        <v>1094</v>
      </c>
      <c r="C382" s="469"/>
      <c r="D382" s="468"/>
      <c r="E382" s="470">
        <v>5050.6000000000004</v>
      </c>
      <c r="F382" s="470">
        <v>5050.6000000000004</v>
      </c>
      <c r="G382" s="470">
        <v>853.39422999999999</v>
      </c>
      <c r="H382" s="470">
        <v>853.39422999999999</v>
      </c>
      <c r="I382" s="471">
        <v>16.899999999999999</v>
      </c>
      <c r="J382" s="471"/>
    </row>
    <row r="383" spans="1:10" ht="25.5" hidden="1" outlineLevel="4">
      <c r="A383" s="472" t="s">
        <v>728</v>
      </c>
      <c r="B383" s="473" t="s">
        <v>1094</v>
      </c>
      <c r="C383" s="474" t="s">
        <v>1058</v>
      </c>
      <c r="D383" s="473" t="s">
        <v>1059</v>
      </c>
      <c r="E383" s="475">
        <v>5050.6000000000004</v>
      </c>
      <c r="F383" s="475">
        <v>5050.6000000000004</v>
      </c>
      <c r="G383" s="475">
        <v>853.39422999999999</v>
      </c>
      <c r="H383" s="475">
        <v>853.39422999999999</v>
      </c>
      <c r="I383" s="471">
        <v>16.899999999999999</v>
      </c>
      <c r="J383" s="471"/>
    </row>
    <row r="384" spans="1:10" ht="25.5" hidden="1" outlineLevel="3">
      <c r="A384" s="467" t="s">
        <v>721</v>
      </c>
      <c r="B384" s="468" t="s">
        <v>1095</v>
      </c>
      <c r="C384" s="469"/>
      <c r="D384" s="468"/>
      <c r="E384" s="470">
        <v>859.8</v>
      </c>
      <c r="F384" s="470">
        <v>859.8</v>
      </c>
      <c r="G384" s="470">
        <v>80.00403</v>
      </c>
      <c r="H384" s="470">
        <v>80.00403</v>
      </c>
      <c r="I384" s="471">
        <v>9.3000000000000007</v>
      </c>
      <c r="J384" s="471"/>
    </row>
    <row r="385" spans="1:10" ht="25.5" hidden="1" outlineLevel="4">
      <c r="A385" s="472" t="s">
        <v>721</v>
      </c>
      <c r="B385" s="473" t="s">
        <v>1095</v>
      </c>
      <c r="C385" s="474" t="s">
        <v>1058</v>
      </c>
      <c r="D385" s="473" t="s">
        <v>1059</v>
      </c>
      <c r="E385" s="475">
        <v>859.8</v>
      </c>
      <c r="F385" s="475">
        <v>859.8</v>
      </c>
      <c r="G385" s="475">
        <v>80.00403</v>
      </c>
      <c r="H385" s="475">
        <v>80.00403</v>
      </c>
      <c r="I385" s="471">
        <v>9.3000000000000007</v>
      </c>
      <c r="J385" s="471"/>
    </row>
    <row r="386" spans="1:10" ht="38.25" hidden="1" outlineLevel="3">
      <c r="A386" s="467" t="s">
        <v>1085</v>
      </c>
      <c r="B386" s="468" t="s">
        <v>1096</v>
      </c>
      <c r="C386" s="469"/>
      <c r="D386" s="468"/>
      <c r="E386" s="470">
        <v>993.1</v>
      </c>
      <c r="F386" s="470">
        <v>993.1</v>
      </c>
      <c r="G386" s="470">
        <v>0</v>
      </c>
      <c r="H386" s="470">
        <v>0</v>
      </c>
      <c r="I386" s="471">
        <v>0</v>
      </c>
      <c r="J386" s="471"/>
    </row>
    <row r="387" spans="1:10" ht="38.25" hidden="1" outlineLevel="4">
      <c r="A387" s="472" t="s">
        <v>1085</v>
      </c>
      <c r="B387" s="473" t="s">
        <v>1096</v>
      </c>
      <c r="C387" s="474" t="s">
        <v>1058</v>
      </c>
      <c r="D387" s="473" t="s">
        <v>1059</v>
      </c>
      <c r="E387" s="475">
        <v>993.1</v>
      </c>
      <c r="F387" s="475">
        <v>993.1</v>
      </c>
      <c r="G387" s="475">
        <v>0</v>
      </c>
      <c r="H387" s="475">
        <v>0</v>
      </c>
      <c r="I387" s="471">
        <v>0</v>
      </c>
      <c r="J387" s="471"/>
    </row>
    <row r="388" spans="1:10" ht="51" hidden="1" outlineLevel="2">
      <c r="A388" s="462" t="s">
        <v>1097</v>
      </c>
      <c r="B388" s="463" t="s">
        <v>1098</v>
      </c>
      <c r="C388" s="464"/>
      <c r="D388" s="463"/>
      <c r="E388" s="465">
        <v>9586116.0999999996</v>
      </c>
      <c r="F388" s="465">
        <v>9586116.0999999996</v>
      </c>
      <c r="G388" s="465">
        <v>4358855.2219399996</v>
      </c>
      <c r="H388" s="465">
        <v>4262975.8340800004</v>
      </c>
      <c r="I388" s="466">
        <v>44.47</v>
      </c>
      <c r="J388" s="466"/>
    </row>
    <row r="389" spans="1:10" ht="51" hidden="1" outlineLevel="3">
      <c r="A389" s="467" t="s">
        <v>1099</v>
      </c>
      <c r="B389" s="468" t="s">
        <v>1100</v>
      </c>
      <c r="C389" s="469"/>
      <c r="D389" s="468"/>
      <c r="E389" s="470">
        <v>6804</v>
      </c>
      <c r="F389" s="470">
        <v>6804</v>
      </c>
      <c r="G389" s="470">
        <v>3269</v>
      </c>
      <c r="H389" s="470">
        <v>3248</v>
      </c>
      <c r="I389" s="471">
        <v>47.74</v>
      </c>
      <c r="J389" s="471"/>
    </row>
    <row r="390" spans="1:10" ht="51" hidden="1" outlineLevel="4">
      <c r="A390" s="472" t="s">
        <v>1099</v>
      </c>
      <c r="B390" s="473" t="s">
        <v>1100</v>
      </c>
      <c r="C390" s="474" t="s">
        <v>1058</v>
      </c>
      <c r="D390" s="473" t="s">
        <v>1059</v>
      </c>
      <c r="E390" s="475">
        <v>6804</v>
      </c>
      <c r="F390" s="475">
        <v>6804</v>
      </c>
      <c r="G390" s="475">
        <v>3269</v>
      </c>
      <c r="H390" s="475">
        <v>3248</v>
      </c>
      <c r="I390" s="471">
        <v>47.74</v>
      </c>
      <c r="J390" s="471"/>
    </row>
    <row r="391" spans="1:10" ht="51" hidden="1" outlineLevel="3">
      <c r="A391" s="467" t="s">
        <v>1101</v>
      </c>
      <c r="B391" s="468" t="s">
        <v>1102</v>
      </c>
      <c r="C391" s="469"/>
      <c r="D391" s="468"/>
      <c r="E391" s="470">
        <v>1788387.2</v>
      </c>
      <c r="F391" s="470">
        <v>1788387.2</v>
      </c>
      <c r="G391" s="470">
        <v>820440.99578999996</v>
      </c>
      <c r="H391" s="470">
        <v>816551.32059000002</v>
      </c>
      <c r="I391" s="471">
        <v>45.66</v>
      </c>
      <c r="J391" s="471"/>
    </row>
    <row r="392" spans="1:10" ht="51" hidden="1" outlineLevel="4">
      <c r="A392" s="472" t="s">
        <v>1101</v>
      </c>
      <c r="B392" s="473" t="s">
        <v>1102</v>
      </c>
      <c r="C392" s="474" t="s">
        <v>1058</v>
      </c>
      <c r="D392" s="473" t="s">
        <v>1059</v>
      </c>
      <c r="E392" s="475">
        <v>1788387.2</v>
      </c>
      <c r="F392" s="475">
        <v>1788387.2</v>
      </c>
      <c r="G392" s="475">
        <v>820440.99578999996</v>
      </c>
      <c r="H392" s="475">
        <v>816551.32059000002</v>
      </c>
      <c r="I392" s="471">
        <v>45.66</v>
      </c>
      <c r="J392" s="471"/>
    </row>
    <row r="393" spans="1:10" ht="51" hidden="1" outlineLevel="3">
      <c r="A393" s="467" t="s">
        <v>1103</v>
      </c>
      <c r="B393" s="468" t="s">
        <v>1104</v>
      </c>
      <c r="C393" s="469"/>
      <c r="D393" s="468"/>
      <c r="E393" s="470">
        <v>39699.4</v>
      </c>
      <c r="F393" s="470">
        <v>39699.4</v>
      </c>
      <c r="G393" s="470">
        <v>18042.141589999999</v>
      </c>
      <c r="H393" s="470">
        <v>17793.141629999998</v>
      </c>
      <c r="I393" s="471">
        <v>44.82</v>
      </c>
      <c r="J393" s="471"/>
    </row>
    <row r="394" spans="1:10" ht="51" hidden="1" outlineLevel="4">
      <c r="A394" s="472" t="s">
        <v>1103</v>
      </c>
      <c r="B394" s="473" t="s">
        <v>1104</v>
      </c>
      <c r="C394" s="474" t="s">
        <v>1058</v>
      </c>
      <c r="D394" s="473" t="s">
        <v>1059</v>
      </c>
      <c r="E394" s="475">
        <v>39699.4</v>
      </c>
      <c r="F394" s="475">
        <v>39699.4</v>
      </c>
      <c r="G394" s="475">
        <v>18042.141589999999</v>
      </c>
      <c r="H394" s="475">
        <v>17793.141629999998</v>
      </c>
      <c r="I394" s="471">
        <v>44.82</v>
      </c>
      <c r="J394" s="471"/>
    </row>
    <row r="395" spans="1:10" ht="25.5" hidden="1" outlineLevel="3">
      <c r="A395" s="467" t="s">
        <v>1105</v>
      </c>
      <c r="B395" s="468" t="s">
        <v>1106</v>
      </c>
      <c r="C395" s="469"/>
      <c r="D395" s="468"/>
      <c r="E395" s="470">
        <v>994374.4</v>
      </c>
      <c r="F395" s="470">
        <v>994374.4</v>
      </c>
      <c r="G395" s="470">
        <v>482301.99312</v>
      </c>
      <c r="H395" s="470">
        <v>480502.29651999997</v>
      </c>
      <c r="I395" s="471">
        <v>48.32</v>
      </c>
      <c r="J395" s="471"/>
    </row>
    <row r="396" spans="1:10" ht="25.5" hidden="1" outlineLevel="4">
      <c r="A396" s="472" t="s">
        <v>1105</v>
      </c>
      <c r="B396" s="473" t="s">
        <v>1106</v>
      </c>
      <c r="C396" s="474" t="s">
        <v>1058</v>
      </c>
      <c r="D396" s="473" t="s">
        <v>1059</v>
      </c>
      <c r="E396" s="475">
        <v>994374.4</v>
      </c>
      <c r="F396" s="475">
        <v>994374.4</v>
      </c>
      <c r="G396" s="475">
        <v>482301.99312</v>
      </c>
      <c r="H396" s="475">
        <v>480502.29651999997</v>
      </c>
      <c r="I396" s="471">
        <v>48.32</v>
      </c>
      <c r="J396" s="471"/>
    </row>
    <row r="397" spans="1:10" ht="25.5" hidden="1" outlineLevel="3">
      <c r="A397" s="467" t="s">
        <v>1107</v>
      </c>
      <c r="B397" s="468" t="s">
        <v>1108</v>
      </c>
      <c r="C397" s="469"/>
      <c r="D397" s="468"/>
      <c r="E397" s="470">
        <v>368.2</v>
      </c>
      <c r="F397" s="470">
        <v>368.2</v>
      </c>
      <c r="G397" s="470">
        <v>135.95506</v>
      </c>
      <c r="H397" s="470">
        <v>130.21047999999999</v>
      </c>
      <c r="I397" s="471">
        <v>35.36</v>
      </c>
      <c r="J397" s="471"/>
    </row>
    <row r="398" spans="1:10" ht="25.5" hidden="1" outlineLevel="4">
      <c r="A398" s="472" t="s">
        <v>1107</v>
      </c>
      <c r="B398" s="473" t="s">
        <v>1108</v>
      </c>
      <c r="C398" s="474" t="s">
        <v>1058</v>
      </c>
      <c r="D398" s="473" t="s">
        <v>1059</v>
      </c>
      <c r="E398" s="475">
        <v>368.2</v>
      </c>
      <c r="F398" s="475">
        <v>368.2</v>
      </c>
      <c r="G398" s="475">
        <v>135.95506</v>
      </c>
      <c r="H398" s="475">
        <v>130.21047999999999</v>
      </c>
      <c r="I398" s="471">
        <v>35.36</v>
      </c>
      <c r="J398" s="471"/>
    </row>
    <row r="399" spans="1:10" ht="51" hidden="1" outlineLevel="3">
      <c r="A399" s="467" t="s">
        <v>1109</v>
      </c>
      <c r="B399" s="468" t="s">
        <v>1110</v>
      </c>
      <c r="C399" s="469"/>
      <c r="D399" s="468"/>
      <c r="E399" s="470">
        <v>11288.7</v>
      </c>
      <c r="F399" s="470">
        <v>11288.7</v>
      </c>
      <c r="G399" s="470">
        <v>5332.6238000000003</v>
      </c>
      <c r="H399" s="470">
        <v>5250.6106600000003</v>
      </c>
      <c r="I399" s="471">
        <v>46.51</v>
      </c>
      <c r="J399" s="471"/>
    </row>
    <row r="400" spans="1:10" ht="51" hidden="1" outlineLevel="4">
      <c r="A400" s="472" t="s">
        <v>1109</v>
      </c>
      <c r="B400" s="473" t="s">
        <v>1110</v>
      </c>
      <c r="C400" s="474" t="s">
        <v>1058</v>
      </c>
      <c r="D400" s="473" t="s">
        <v>1059</v>
      </c>
      <c r="E400" s="475">
        <v>11288.7</v>
      </c>
      <c r="F400" s="475">
        <v>11288.7</v>
      </c>
      <c r="G400" s="475">
        <v>5332.6238000000003</v>
      </c>
      <c r="H400" s="475">
        <v>5250.6106600000003</v>
      </c>
      <c r="I400" s="471">
        <v>46.51</v>
      </c>
      <c r="J400" s="471"/>
    </row>
    <row r="401" spans="1:10" ht="38.25" hidden="1" outlineLevel="3">
      <c r="A401" s="467" t="s">
        <v>1111</v>
      </c>
      <c r="B401" s="468" t="s">
        <v>1112</v>
      </c>
      <c r="C401" s="469"/>
      <c r="D401" s="468"/>
      <c r="E401" s="470">
        <v>184520.6</v>
      </c>
      <c r="F401" s="470">
        <v>184520.6</v>
      </c>
      <c r="G401" s="470">
        <v>90099.560729999997</v>
      </c>
      <c r="H401" s="470">
        <v>89663.525349999996</v>
      </c>
      <c r="I401" s="471">
        <v>48.59</v>
      </c>
      <c r="J401" s="471"/>
    </row>
    <row r="402" spans="1:10" ht="38.25" hidden="1" outlineLevel="4">
      <c r="A402" s="472" t="s">
        <v>1111</v>
      </c>
      <c r="B402" s="473" t="s">
        <v>1112</v>
      </c>
      <c r="C402" s="474" t="s">
        <v>1058</v>
      </c>
      <c r="D402" s="473" t="s">
        <v>1059</v>
      </c>
      <c r="E402" s="475">
        <v>184520.6</v>
      </c>
      <c r="F402" s="475">
        <v>184520.6</v>
      </c>
      <c r="G402" s="475">
        <v>90099.560729999997</v>
      </c>
      <c r="H402" s="475">
        <v>89663.525349999996</v>
      </c>
      <c r="I402" s="471">
        <v>48.59</v>
      </c>
      <c r="J402" s="471"/>
    </row>
    <row r="403" spans="1:10" ht="38.25" hidden="1" outlineLevel="3">
      <c r="A403" s="467" t="s">
        <v>1113</v>
      </c>
      <c r="B403" s="468" t="s">
        <v>1114</v>
      </c>
      <c r="C403" s="469"/>
      <c r="D403" s="468"/>
      <c r="E403" s="470">
        <v>271628</v>
      </c>
      <c r="F403" s="470">
        <v>271628</v>
      </c>
      <c r="G403" s="470">
        <v>124570.72444999999</v>
      </c>
      <c r="H403" s="470">
        <v>122742.20653</v>
      </c>
      <c r="I403" s="471">
        <v>45.19</v>
      </c>
      <c r="J403" s="471"/>
    </row>
    <row r="404" spans="1:10" ht="38.25" hidden="1" outlineLevel="4">
      <c r="A404" s="472" t="s">
        <v>1113</v>
      </c>
      <c r="B404" s="473" t="s">
        <v>1114</v>
      </c>
      <c r="C404" s="474" t="s">
        <v>1058</v>
      </c>
      <c r="D404" s="473" t="s">
        <v>1059</v>
      </c>
      <c r="E404" s="475">
        <v>271628</v>
      </c>
      <c r="F404" s="475">
        <v>271628</v>
      </c>
      <c r="G404" s="475">
        <v>124570.72444999999</v>
      </c>
      <c r="H404" s="475">
        <v>122742.20653</v>
      </c>
      <c r="I404" s="471">
        <v>45.19</v>
      </c>
      <c r="J404" s="471"/>
    </row>
    <row r="405" spans="1:10" hidden="1" outlineLevel="3">
      <c r="A405" s="467" t="s">
        <v>1115</v>
      </c>
      <c r="B405" s="468" t="s">
        <v>1116</v>
      </c>
      <c r="C405" s="469"/>
      <c r="D405" s="468"/>
      <c r="E405" s="470">
        <v>237589.4</v>
      </c>
      <c r="F405" s="470">
        <v>237589.4</v>
      </c>
      <c r="G405" s="470">
        <v>126163.18424</v>
      </c>
      <c r="H405" s="470">
        <v>125217.75632</v>
      </c>
      <c r="I405" s="471">
        <v>52.7</v>
      </c>
      <c r="J405" s="471"/>
    </row>
    <row r="406" spans="1:10" ht="25.5" hidden="1" outlineLevel="4">
      <c r="A406" s="472" t="s">
        <v>1115</v>
      </c>
      <c r="B406" s="473" t="s">
        <v>1116</v>
      </c>
      <c r="C406" s="474" t="s">
        <v>1058</v>
      </c>
      <c r="D406" s="473" t="s">
        <v>1059</v>
      </c>
      <c r="E406" s="475">
        <v>237589.4</v>
      </c>
      <c r="F406" s="475">
        <v>237589.4</v>
      </c>
      <c r="G406" s="475">
        <v>126163.18424</v>
      </c>
      <c r="H406" s="475">
        <v>125217.75632</v>
      </c>
      <c r="I406" s="471">
        <v>52.7</v>
      </c>
      <c r="J406" s="471"/>
    </row>
    <row r="407" spans="1:10" ht="25.5" hidden="1" outlineLevel="3">
      <c r="A407" s="467" t="s">
        <v>1117</v>
      </c>
      <c r="B407" s="468" t="s">
        <v>1118</v>
      </c>
      <c r="C407" s="469"/>
      <c r="D407" s="468"/>
      <c r="E407" s="470">
        <v>160626.4</v>
      </c>
      <c r="F407" s="470">
        <v>160626.4</v>
      </c>
      <c r="G407" s="470">
        <v>72422.782770000005</v>
      </c>
      <c r="H407" s="470">
        <v>67645.283420000007</v>
      </c>
      <c r="I407" s="471">
        <v>42.11</v>
      </c>
      <c r="J407" s="471"/>
    </row>
    <row r="408" spans="1:10" ht="25.5" hidden="1" outlineLevel="4">
      <c r="A408" s="472" t="s">
        <v>1117</v>
      </c>
      <c r="B408" s="473" t="s">
        <v>1118</v>
      </c>
      <c r="C408" s="474" t="s">
        <v>1058</v>
      </c>
      <c r="D408" s="473" t="s">
        <v>1059</v>
      </c>
      <c r="E408" s="475">
        <v>160626.4</v>
      </c>
      <c r="F408" s="475">
        <v>160626.4</v>
      </c>
      <c r="G408" s="475">
        <v>72422.782770000005</v>
      </c>
      <c r="H408" s="475">
        <v>67645.283420000007</v>
      </c>
      <c r="I408" s="471">
        <v>42.11</v>
      </c>
      <c r="J408" s="471"/>
    </row>
    <row r="409" spans="1:10" ht="25.5" hidden="1" outlineLevel="3">
      <c r="A409" s="467" t="s">
        <v>1119</v>
      </c>
      <c r="B409" s="468" t="s">
        <v>1120</v>
      </c>
      <c r="C409" s="469"/>
      <c r="D409" s="468"/>
      <c r="E409" s="470">
        <v>10550.7</v>
      </c>
      <c r="F409" s="470">
        <v>10550.7</v>
      </c>
      <c r="G409" s="470">
        <v>457.22147999999999</v>
      </c>
      <c r="H409" s="470">
        <v>203.49204</v>
      </c>
      <c r="I409" s="471">
        <v>1.93</v>
      </c>
      <c r="J409" s="471"/>
    </row>
    <row r="410" spans="1:10" ht="25.5" hidden="1" outlineLevel="4">
      <c r="A410" s="472" t="s">
        <v>1119</v>
      </c>
      <c r="B410" s="473" t="s">
        <v>1120</v>
      </c>
      <c r="C410" s="474" t="s">
        <v>1058</v>
      </c>
      <c r="D410" s="473" t="s">
        <v>1059</v>
      </c>
      <c r="E410" s="475">
        <v>10550.7</v>
      </c>
      <c r="F410" s="475">
        <v>10550.7</v>
      </c>
      <c r="G410" s="475">
        <v>457.22147999999999</v>
      </c>
      <c r="H410" s="475">
        <v>203.49204</v>
      </c>
      <c r="I410" s="471">
        <v>1.93</v>
      </c>
      <c r="J410" s="471"/>
    </row>
    <row r="411" spans="1:10" ht="38.25" hidden="1" outlineLevel="3">
      <c r="A411" s="467" t="s">
        <v>1121</v>
      </c>
      <c r="B411" s="468" t="s">
        <v>1122</v>
      </c>
      <c r="C411" s="469"/>
      <c r="D411" s="468"/>
      <c r="E411" s="470">
        <v>3330.1</v>
      </c>
      <c r="F411" s="470">
        <v>3330.1</v>
      </c>
      <c r="G411" s="470">
        <v>999.0027</v>
      </c>
      <c r="H411" s="470">
        <v>999.0027</v>
      </c>
      <c r="I411" s="471">
        <v>30</v>
      </c>
      <c r="J411" s="471"/>
    </row>
    <row r="412" spans="1:10" ht="38.25" hidden="1" outlineLevel="4">
      <c r="A412" s="472" t="s">
        <v>1121</v>
      </c>
      <c r="B412" s="473" t="s">
        <v>1122</v>
      </c>
      <c r="C412" s="474" t="s">
        <v>1058</v>
      </c>
      <c r="D412" s="473" t="s">
        <v>1059</v>
      </c>
      <c r="E412" s="475">
        <v>3330.1</v>
      </c>
      <c r="F412" s="475">
        <v>3330.1</v>
      </c>
      <c r="G412" s="475">
        <v>999.0027</v>
      </c>
      <c r="H412" s="475">
        <v>999.0027</v>
      </c>
      <c r="I412" s="471">
        <v>30</v>
      </c>
      <c r="J412" s="471"/>
    </row>
    <row r="413" spans="1:10" ht="51" hidden="1" outlineLevel="3">
      <c r="A413" s="467" t="s">
        <v>1123</v>
      </c>
      <c r="B413" s="468" t="s">
        <v>1124</v>
      </c>
      <c r="C413" s="469"/>
      <c r="D413" s="468"/>
      <c r="E413" s="470">
        <v>85</v>
      </c>
      <c r="F413" s="470">
        <v>85</v>
      </c>
      <c r="G413" s="470">
        <v>75</v>
      </c>
      <c r="H413" s="470">
        <v>75</v>
      </c>
      <c r="I413" s="471">
        <v>88.24</v>
      </c>
      <c r="J413" s="471"/>
    </row>
    <row r="414" spans="1:10" ht="51" hidden="1" outlineLevel="4">
      <c r="A414" s="472" t="s">
        <v>1123</v>
      </c>
      <c r="B414" s="473" t="s">
        <v>1124</v>
      </c>
      <c r="C414" s="474" t="s">
        <v>1058</v>
      </c>
      <c r="D414" s="473" t="s">
        <v>1059</v>
      </c>
      <c r="E414" s="475">
        <v>85</v>
      </c>
      <c r="F414" s="475">
        <v>85</v>
      </c>
      <c r="G414" s="475">
        <v>75</v>
      </c>
      <c r="H414" s="475">
        <v>75</v>
      </c>
      <c r="I414" s="471">
        <v>88.24</v>
      </c>
      <c r="J414" s="471"/>
    </row>
    <row r="415" spans="1:10" ht="38.25" hidden="1" outlineLevel="3">
      <c r="A415" s="467" t="s">
        <v>1125</v>
      </c>
      <c r="B415" s="468" t="s">
        <v>1126</v>
      </c>
      <c r="C415" s="469"/>
      <c r="D415" s="468"/>
      <c r="E415" s="470">
        <v>7321.5</v>
      </c>
      <c r="F415" s="470">
        <v>7321.5</v>
      </c>
      <c r="G415" s="470">
        <v>3775</v>
      </c>
      <c r="H415" s="470">
        <v>3735</v>
      </c>
      <c r="I415" s="471">
        <v>51.01</v>
      </c>
      <c r="J415" s="471"/>
    </row>
    <row r="416" spans="1:10" ht="38.25" hidden="1" outlineLevel="4">
      <c r="A416" s="472" t="s">
        <v>1125</v>
      </c>
      <c r="B416" s="473" t="s">
        <v>1126</v>
      </c>
      <c r="C416" s="474" t="s">
        <v>1058</v>
      </c>
      <c r="D416" s="473" t="s">
        <v>1059</v>
      </c>
      <c r="E416" s="475">
        <v>7321.5</v>
      </c>
      <c r="F416" s="475">
        <v>7321.5</v>
      </c>
      <c r="G416" s="475">
        <v>3775</v>
      </c>
      <c r="H416" s="475">
        <v>3735</v>
      </c>
      <c r="I416" s="471">
        <v>51.01</v>
      </c>
      <c r="J416" s="471"/>
    </row>
    <row r="417" spans="1:10" ht="25.5" hidden="1" outlineLevel="3">
      <c r="A417" s="467" t="s">
        <v>1127</v>
      </c>
      <c r="B417" s="468" t="s">
        <v>1128</v>
      </c>
      <c r="C417" s="469"/>
      <c r="D417" s="468"/>
      <c r="E417" s="470">
        <v>1110.5</v>
      </c>
      <c r="F417" s="470">
        <v>1110.5</v>
      </c>
      <c r="G417" s="470">
        <v>1110.1188</v>
      </c>
      <c r="H417" s="470">
        <v>1108.9187999999999</v>
      </c>
      <c r="I417" s="471">
        <v>99.86</v>
      </c>
      <c r="J417" s="471"/>
    </row>
    <row r="418" spans="1:10" ht="25.5" hidden="1" outlineLevel="4">
      <c r="A418" s="472" t="s">
        <v>1127</v>
      </c>
      <c r="B418" s="473" t="s">
        <v>1128</v>
      </c>
      <c r="C418" s="474" t="s">
        <v>1058</v>
      </c>
      <c r="D418" s="473" t="s">
        <v>1059</v>
      </c>
      <c r="E418" s="475">
        <v>1110.5</v>
      </c>
      <c r="F418" s="475">
        <v>1110.5</v>
      </c>
      <c r="G418" s="475">
        <v>1110.1188</v>
      </c>
      <c r="H418" s="475">
        <v>1108.9187999999999</v>
      </c>
      <c r="I418" s="471">
        <v>99.86</v>
      </c>
      <c r="J418" s="471"/>
    </row>
    <row r="419" spans="1:10" ht="38.25" hidden="1" outlineLevel="3">
      <c r="A419" s="467" t="s">
        <v>1129</v>
      </c>
      <c r="B419" s="468" t="s">
        <v>1130</v>
      </c>
      <c r="C419" s="469"/>
      <c r="D419" s="468"/>
      <c r="E419" s="470">
        <v>27822</v>
      </c>
      <c r="F419" s="470">
        <v>27822</v>
      </c>
      <c r="G419" s="470">
        <v>25948.68</v>
      </c>
      <c r="H419" s="470">
        <v>25578.32</v>
      </c>
      <c r="I419" s="471">
        <v>91.94</v>
      </c>
      <c r="J419" s="471"/>
    </row>
    <row r="420" spans="1:10" ht="38.25" hidden="1" outlineLevel="4">
      <c r="A420" s="472" t="s">
        <v>1129</v>
      </c>
      <c r="B420" s="473" t="s">
        <v>1130</v>
      </c>
      <c r="C420" s="474" t="s">
        <v>1058</v>
      </c>
      <c r="D420" s="473" t="s">
        <v>1059</v>
      </c>
      <c r="E420" s="475">
        <v>27822</v>
      </c>
      <c r="F420" s="475">
        <v>27822</v>
      </c>
      <c r="G420" s="475">
        <v>25948.68</v>
      </c>
      <c r="H420" s="475">
        <v>25578.32</v>
      </c>
      <c r="I420" s="471">
        <v>91.94</v>
      </c>
      <c r="J420" s="471"/>
    </row>
    <row r="421" spans="1:10" ht="38.25" hidden="1" outlineLevel="3">
      <c r="A421" s="467" t="s">
        <v>1131</v>
      </c>
      <c r="B421" s="468" t="s">
        <v>1132</v>
      </c>
      <c r="C421" s="469"/>
      <c r="D421" s="468"/>
      <c r="E421" s="470">
        <v>1167.2</v>
      </c>
      <c r="F421" s="470">
        <v>1167.2</v>
      </c>
      <c r="G421" s="470">
        <v>0</v>
      </c>
      <c r="H421" s="470">
        <v>0</v>
      </c>
      <c r="I421" s="471">
        <v>0</v>
      </c>
      <c r="J421" s="471"/>
    </row>
    <row r="422" spans="1:10" ht="38.25" hidden="1" outlineLevel="4">
      <c r="A422" s="472" t="s">
        <v>1131</v>
      </c>
      <c r="B422" s="473" t="s">
        <v>1132</v>
      </c>
      <c r="C422" s="474" t="s">
        <v>1058</v>
      </c>
      <c r="D422" s="473" t="s">
        <v>1059</v>
      </c>
      <c r="E422" s="475">
        <v>1167.2</v>
      </c>
      <c r="F422" s="475">
        <v>1167.2</v>
      </c>
      <c r="G422" s="475">
        <v>0</v>
      </c>
      <c r="H422" s="475">
        <v>0</v>
      </c>
      <c r="I422" s="471">
        <v>0</v>
      </c>
      <c r="J422" s="471"/>
    </row>
    <row r="423" spans="1:10" ht="38.25" hidden="1" outlineLevel="3">
      <c r="A423" s="467" t="s">
        <v>1133</v>
      </c>
      <c r="B423" s="468" t="s">
        <v>1134</v>
      </c>
      <c r="C423" s="469"/>
      <c r="D423" s="468"/>
      <c r="E423" s="470">
        <v>31957</v>
      </c>
      <c r="F423" s="470">
        <v>31957</v>
      </c>
      <c r="G423" s="470">
        <v>30899.173999999999</v>
      </c>
      <c r="H423" s="470">
        <v>30624.03</v>
      </c>
      <c r="I423" s="471">
        <v>95.83</v>
      </c>
      <c r="J423" s="471"/>
    </row>
    <row r="424" spans="1:10" ht="38.25" hidden="1" outlineLevel="4">
      <c r="A424" s="472" t="s">
        <v>1133</v>
      </c>
      <c r="B424" s="473" t="s">
        <v>1134</v>
      </c>
      <c r="C424" s="474" t="s">
        <v>1058</v>
      </c>
      <c r="D424" s="473" t="s">
        <v>1059</v>
      </c>
      <c r="E424" s="475">
        <v>31957</v>
      </c>
      <c r="F424" s="475">
        <v>31957</v>
      </c>
      <c r="G424" s="475">
        <v>30899.173999999999</v>
      </c>
      <c r="H424" s="475">
        <v>30624.03</v>
      </c>
      <c r="I424" s="471">
        <v>95.83</v>
      </c>
      <c r="J424" s="471"/>
    </row>
    <row r="425" spans="1:10" ht="38.25" hidden="1" outlineLevel="3">
      <c r="A425" s="467" t="s">
        <v>1135</v>
      </c>
      <c r="B425" s="468" t="s">
        <v>1136</v>
      </c>
      <c r="C425" s="469"/>
      <c r="D425" s="468"/>
      <c r="E425" s="470">
        <v>76477.7</v>
      </c>
      <c r="F425" s="470">
        <v>76477.7</v>
      </c>
      <c r="G425" s="470">
        <v>72623.793669999999</v>
      </c>
      <c r="H425" s="470">
        <v>72253.790609999996</v>
      </c>
      <c r="I425" s="471">
        <v>94.48</v>
      </c>
      <c r="J425" s="471"/>
    </row>
    <row r="426" spans="1:10" ht="38.25" hidden="1" outlineLevel="4">
      <c r="A426" s="472" t="s">
        <v>1135</v>
      </c>
      <c r="B426" s="473" t="s">
        <v>1136</v>
      </c>
      <c r="C426" s="474" t="s">
        <v>1058</v>
      </c>
      <c r="D426" s="473" t="s">
        <v>1059</v>
      </c>
      <c r="E426" s="475">
        <v>76477.7</v>
      </c>
      <c r="F426" s="475">
        <v>76477.7</v>
      </c>
      <c r="G426" s="475">
        <v>72623.793669999999</v>
      </c>
      <c r="H426" s="475">
        <v>72253.790609999996</v>
      </c>
      <c r="I426" s="471">
        <v>94.48</v>
      </c>
      <c r="J426" s="471"/>
    </row>
    <row r="427" spans="1:10" ht="51" hidden="1" outlineLevel="3">
      <c r="A427" s="467" t="s">
        <v>1137</v>
      </c>
      <c r="B427" s="468" t="s">
        <v>1138</v>
      </c>
      <c r="C427" s="469"/>
      <c r="D427" s="468"/>
      <c r="E427" s="470">
        <v>6976.6</v>
      </c>
      <c r="F427" s="470">
        <v>6976.6</v>
      </c>
      <c r="G427" s="470">
        <v>3472.3081000000002</v>
      </c>
      <c r="H427" s="470">
        <v>2939.8413500000001</v>
      </c>
      <c r="I427" s="471">
        <v>42.14</v>
      </c>
      <c r="J427" s="471"/>
    </row>
    <row r="428" spans="1:10" ht="51" hidden="1" outlineLevel="4">
      <c r="A428" s="472" t="s">
        <v>1137</v>
      </c>
      <c r="B428" s="473" t="s">
        <v>1138</v>
      </c>
      <c r="C428" s="474" t="s">
        <v>1058</v>
      </c>
      <c r="D428" s="473" t="s">
        <v>1059</v>
      </c>
      <c r="E428" s="475">
        <v>6976.6</v>
      </c>
      <c r="F428" s="475">
        <v>6976.6</v>
      </c>
      <c r="G428" s="475">
        <v>3472.3081000000002</v>
      </c>
      <c r="H428" s="475">
        <v>2939.8413500000001</v>
      </c>
      <c r="I428" s="471">
        <v>42.14</v>
      </c>
      <c r="J428" s="471"/>
    </row>
    <row r="429" spans="1:10" ht="38.25" hidden="1" outlineLevel="3">
      <c r="A429" s="467" t="s">
        <v>1139</v>
      </c>
      <c r="B429" s="468" t="s">
        <v>1140</v>
      </c>
      <c r="C429" s="469"/>
      <c r="D429" s="468"/>
      <c r="E429" s="470">
        <v>8159.8</v>
      </c>
      <c r="F429" s="470">
        <v>8159.8</v>
      </c>
      <c r="G429" s="470">
        <v>2375.06648</v>
      </c>
      <c r="H429" s="470">
        <v>2243.9278399999998</v>
      </c>
      <c r="I429" s="471">
        <v>27.5</v>
      </c>
      <c r="J429" s="471"/>
    </row>
    <row r="430" spans="1:10" ht="38.25" hidden="1" outlineLevel="4">
      <c r="A430" s="472" t="s">
        <v>1139</v>
      </c>
      <c r="B430" s="473" t="s">
        <v>1140</v>
      </c>
      <c r="C430" s="474" t="s">
        <v>1058</v>
      </c>
      <c r="D430" s="473" t="s">
        <v>1059</v>
      </c>
      <c r="E430" s="475">
        <v>8159.8</v>
      </c>
      <c r="F430" s="475">
        <v>8159.8</v>
      </c>
      <c r="G430" s="475">
        <v>2375.06648</v>
      </c>
      <c r="H430" s="475">
        <v>2243.9278399999998</v>
      </c>
      <c r="I430" s="471">
        <v>27.5</v>
      </c>
      <c r="J430" s="471"/>
    </row>
    <row r="431" spans="1:10" ht="25.5" hidden="1" outlineLevel="3">
      <c r="A431" s="467" t="s">
        <v>1141</v>
      </c>
      <c r="B431" s="468" t="s">
        <v>1142</v>
      </c>
      <c r="C431" s="469"/>
      <c r="D431" s="468"/>
      <c r="E431" s="470">
        <v>540</v>
      </c>
      <c r="F431" s="470">
        <v>540</v>
      </c>
      <c r="G431" s="470">
        <v>414</v>
      </c>
      <c r="H431" s="470">
        <v>414</v>
      </c>
      <c r="I431" s="471">
        <v>76.67</v>
      </c>
      <c r="J431" s="471"/>
    </row>
    <row r="432" spans="1:10" ht="25.5" hidden="1" outlineLevel="4">
      <c r="A432" s="472" t="s">
        <v>1141</v>
      </c>
      <c r="B432" s="473" t="s">
        <v>1142</v>
      </c>
      <c r="C432" s="474" t="s">
        <v>1058</v>
      </c>
      <c r="D432" s="473" t="s">
        <v>1059</v>
      </c>
      <c r="E432" s="475">
        <v>540</v>
      </c>
      <c r="F432" s="475">
        <v>540</v>
      </c>
      <c r="G432" s="475">
        <v>414</v>
      </c>
      <c r="H432" s="475">
        <v>414</v>
      </c>
      <c r="I432" s="471">
        <v>76.67</v>
      </c>
      <c r="J432" s="471"/>
    </row>
    <row r="433" spans="1:10" ht="102" hidden="1" outlineLevel="3">
      <c r="A433" s="467" t="s">
        <v>1143</v>
      </c>
      <c r="B433" s="468" t="s">
        <v>1144</v>
      </c>
      <c r="C433" s="469"/>
      <c r="D433" s="468"/>
      <c r="E433" s="470">
        <v>3698.4</v>
      </c>
      <c r="F433" s="470">
        <v>3698.4</v>
      </c>
      <c r="G433" s="470">
        <v>1773.3240000000001</v>
      </c>
      <c r="H433" s="470">
        <v>1773.3240000000001</v>
      </c>
      <c r="I433" s="471">
        <v>47.95</v>
      </c>
      <c r="J433" s="471"/>
    </row>
    <row r="434" spans="1:10" ht="102" hidden="1" outlineLevel="4">
      <c r="A434" s="472" t="s">
        <v>1143</v>
      </c>
      <c r="B434" s="473" t="s">
        <v>1144</v>
      </c>
      <c r="C434" s="474" t="s">
        <v>1058</v>
      </c>
      <c r="D434" s="473" t="s">
        <v>1059</v>
      </c>
      <c r="E434" s="475">
        <v>3698.4</v>
      </c>
      <c r="F434" s="475">
        <v>3698.4</v>
      </c>
      <c r="G434" s="475">
        <v>1773.3240000000001</v>
      </c>
      <c r="H434" s="475">
        <v>1773.3240000000001</v>
      </c>
      <c r="I434" s="471">
        <v>47.95</v>
      </c>
      <c r="J434" s="471"/>
    </row>
    <row r="435" spans="1:10" ht="102" hidden="1" outlineLevel="3">
      <c r="A435" s="467" t="s">
        <v>1145</v>
      </c>
      <c r="B435" s="468" t="s">
        <v>1146</v>
      </c>
      <c r="C435" s="469"/>
      <c r="D435" s="468"/>
      <c r="E435" s="470">
        <v>67540.5</v>
      </c>
      <c r="F435" s="470">
        <v>67540.5</v>
      </c>
      <c r="G435" s="470">
        <v>28593.19526</v>
      </c>
      <c r="H435" s="470">
        <v>28054.33</v>
      </c>
      <c r="I435" s="471">
        <v>41.54</v>
      </c>
      <c r="J435" s="471"/>
    </row>
    <row r="436" spans="1:10" ht="102" hidden="1" outlineLevel="4">
      <c r="A436" s="472" t="s">
        <v>1145</v>
      </c>
      <c r="B436" s="473" t="s">
        <v>1146</v>
      </c>
      <c r="C436" s="474" t="s">
        <v>1058</v>
      </c>
      <c r="D436" s="473" t="s">
        <v>1059</v>
      </c>
      <c r="E436" s="475">
        <v>67540.5</v>
      </c>
      <c r="F436" s="475">
        <v>67540.5</v>
      </c>
      <c r="G436" s="475">
        <v>28593.19526</v>
      </c>
      <c r="H436" s="475">
        <v>28054.33</v>
      </c>
      <c r="I436" s="471">
        <v>41.54</v>
      </c>
      <c r="J436" s="471"/>
    </row>
    <row r="437" spans="1:10" ht="89.25" hidden="1" outlineLevel="3">
      <c r="A437" s="467" t="s">
        <v>1147</v>
      </c>
      <c r="B437" s="468" t="s">
        <v>1148</v>
      </c>
      <c r="C437" s="469"/>
      <c r="D437" s="468"/>
      <c r="E437" s="470">
        <v>1.5</v>
      </c>
      <c r="F437" s="470">
        <v>1.5</v>
      </c>
      <c r="G437" s="470">
        <v>0</v>
      </c>
      <c r="H437" s="470">
        <v>0</v>
      </c>
      <c r="I437" s="471">
        <v>0</v>
      </c>
      <c r="J437" s="471"/>
    </row>
    <row r="438" spans="1:10" ht="89.25" hidden="1" outlineLevel="4">
      <c r="A438" s="472" t="s">
        <v>1147</v>
      </c>
      <c r="B438" s="473" t="s">
        <v>1148</v>
      </c>
      <c r="C438" s="474" t="s">
        <v>1058</v>
      </c>
      <c r="D438" s="473" t="s">
        <v>1059</v>
      </c>
      <c r="E438" s="475">
        <v>1.5</v>
      </c>
      <c r="F438" s="475">
        <v>1.5</v>
      </c>
      <c r="G438" s="475">
        <v>0</v>
      </c>
      <c r="H438" s="475">
        <v>0</v>
      </c>
      <c r="I438" s="471">
        <v>0</v>
      </c>
      <c r="J438" s="471"/>
    </row>
    <row r="439" spans="1:10" ht="63.75" hidden="1" outlineLevel="3">
      <c r="A439" s="467" t="s">
        <v>1149</v>
      </c>
      <c r="B439" s="468" t="s">
        <v>1150</v>
      </c>
      <c r="C439" s="469"/>
      <c r="D439" s="468"/>
      <c r="E439" s="470">
        <v>60575.199999999997</v>
      </c>
      <c r="F439" s="470">
        <v>60575.199999999997</v>
      </c>
      <c r="G439" s="470">
        <v>32232.714240000001</v>
      </c>
      <c r="H439" s="470">
        <v>31682.462189999998</v>
      </c>
      <c r="I439" s="471">
        <v>52.3</v>
      </c>
      <c r="J439" s="471"/>
    </row>
    <row r="440" spans="1:10" ht="63.75" hidden="1" outlineLevel="4">
      <c r="A440" s="472" t="s">
        <v>1149</v>
      </c>
      <c r="B440" s="473" t="s">
        <v>1150</v>
      </c>
      <c r="C440" s="474" t="s">
        <v>1058</v>
      </c>
      <c r="D440" s="473" t="s">
        <v>1059</v>
      </c>
      <c r="E440" s="475">
        <v>60575.199999999997</v>
      </c>
      <c r="F440" s="475">
        <v>60575.199999999997</v>
      </c>
      <c r="G440" s="475">
        <v>32232.714240000001</v>
      </c>
      <c r="H440" s="475">
        <v>31682.462189999998</v>
      </c>
      <c r="I440" s="471">
        <v>52.3</v>
      </c>
      <c r="J440" s="471"/>
    </row>
    <row r="441" spans="1:10" ht="25.5" hidden="1" outlineLevel="3">
      <c r="A441" s="467" t="s">
        <v>1151</v>
      </c>
      <c r="B441" s="468" t="s">
        <v>1152</v>
      </c>
      <c r="C441" s="469"/>
      <c r="D441" s="468"/>
      <c r="E441" s="470">
        <v>56728.7</v>
      </c>
      <c r="F441" s="470">
        <v>56728.7</v>
      </c>
      <c r="G441" s="470">
        <v>0</v>
      </c>
      <c r="H441" s="470">
        <v>-3.6347499999999999</v>
      </c>
      <c r="I441" s="471">
        <v>-0.01</v>
      </c>
      <c r="J441" s="471"/>
    </row>
    <row r="442" spans="1:10" ht="25.5" hidden="1" outlineLevel="4">
      <c r="A442" s="472" t="s">
        <v>1151</v>
      </c>
      <c r="B442" s="473" t="s">
        <v>1152</v>
      </c>
      <c r="C442" s="474" t="s">
        <v>1058</v>
      </c>
      <c r="D442" s="473" t="s">
        <v>1059</v>
      </c>
      <c r="E442" s="475">
        <v>56728.7</v>
      </c>
      <c r="F442" s="475">
        <v>56728.7</v>
      </c>
      <c r="G442" s="475">
        <v>0</v>
      </c>
      <c r="H442" s="475">
        <v>-3.6347499999999999</v>
      </c>
      <c r="I442" s="471">
        <v>-0.01</v>
      </c>
      <c r="J442" s="471"/>
    </row>
    <row r="443" spans="1:10" ht="38.25" hidden="1" outlineLevel="3">
      <c r="A443" s="467" t="s">
        <v>1153</v>
      </c>
      <c r="B443" s="468" t="s">
        <v>1154</v>
      </c>
      <c r="C443" s="469"/>
      <c r="D443" s="468"/>
      <c r="E443" s="470">
        <v>169388.7</v>
      </c>
      <c r="F443" s="470">
        <v>169388.7</v>
      </c>
      <c r="G443" s="470">
        <v>83700</v>
      </c>
      <c r="H443" s="470">
        <v>83400.635920000001</v>
      </c>
      <c r="I443" s="471">
        <v>49.24</v>
      </c>
      <c r="J443" s="471"/>
    </row>
    <row r="444" spans="1:10" ht="38.25" hidden="1" outlineLevel="4">
      <c r="A444" s="472" t="s">
        <v>1153</v>
      </c>
      <c r="B444" s="473" t="s">
        <v>1154</v>
      </c>
      <c r="C444" s="474" t="s">
        <v>1058</v>
      </c>
      <c r="D444" s="473" t="s">
        <v>1059</v>
      </c>
      <c r="E444" s="475">
        <v>169388.7</v>
      </c>
      <c r="F444" s="475">
        <v>169388.7</v>
      </c>
      <c r="G444" s="475">
        <v>83700</v>
      </c>
      <c r="H444" s="475">
        <v>83400.635920000001</v>
      </c>
      <c r="I444" s="471">
        <v>49.24</v>
      </c>
      <c r="J444" s="471"/>
    </row>
    <row r="445" spans="1:10" ht="63.75" hidden="1" outlineLevel="3">
      <c r="A445" s="467" t="s">
        <v>1155</v>
      </c>
      <c r="B445" s="468" t="s">
        <v>1156</v>
      </c>
      <c r="C445" s="469"/>
      <c r="D445" s="468"/>
      <c r="E445" s="470">
        <v>1152</v>
      </c>
      <c r="F445" s="470">
        <v>1152</v>
      </c>
      <c r="G445" s="470">
        <v>330</v>
      </c>
      <c r="H445" s="470">
        <v>312.87</v>
      </c>
      <c r="I445" s="471">
        <v>27.16</v>
      </c>
      <c r="J445" s="471"/>
    </row>
    <row r="446" spans="1:10" ht="63.75" hidden="1" outlineLevel="4">
      <c r="A446" s="472" t="s">
        <v>1155</v>
      </c>
      <c r="B446" s="473" t="s">
        <v>1156</v>
      </c>
      <c r="C446" s="474" t="s">
        <v>1058</v>
      </c>
      <c r="D446" s="473" t="s">
        <v>1059</v>
      </c>
      <c r="E446" s="475">
        <v>1152</v>
      </c>
      <c r="F446" s="475">
        <v>1152</v>
      </c>
      <c r="G446" s="475">
        <v>330</v>
      </c>
      <c r="H446" s="475">
        <v>312.87</v>
      </c>
      <c r="I446" s="471">
        <v>27.16</v>
      </c>
      <c r="J446" s="471"/>
    </row>
    <row r="447" spans="1:10" ht="89.25" hidden="1" outlineLevel="3">
      <c r="A447" s="467" t="s">
        <v>1157</v>
      </c>
      <c r="B447" s="468" t="s">
        <v>1158</v>
      </c>
      <c r="C447" s="469"/>
      <c r="D447" s="468"/>
      <c r="E447" s="470">
        <v>8508.5</v>
      </c>
      <c r="F447" s="470">
        <v>8508.5</v>
      </c>
      <c r="G447" s="470">
        <v>0</v>
      </c>
      <c r="H447" s="470">
        <v>0</v>
      </c>
      <c r="I447" s="471">
        <v>0</v>
      </c>
      <c r="J447" s="471"/>
    </row>
    <row r="448" spans="1:10" ht="89.25" hidden="1" outlineLevel="4">
      <c r="A448" s="472" t="s">
        <v>1157</v>
      </c>
      <c r="B448" s="473" t="s">
        <v>1158</v>
      </c>
      <c r="C448" s="474" t="s">
        <v>1058</v>
      </c>
      <c r="D448" s="473" t="s">
        <v>1059</v>
      </c>
      <c r="E448" s="475">
        <v>8508.5</v>
      </c>
      <c r="F448" s="475">
        <v>8508.5</v>
      </c>
      <c r="G448" s="475">
        <v>0</v>
      </c>
      <c r="H448" s="475">
        <v>0</v>
      </c>
      <c r="I448" s="471">
        <v>0</v>
      </c>
      <c r="J448" s="471"/>
    </row>
    <row r="449" spans="1:10" ht="38.25" hidden="1" outlineLevel="3">
      <c r="A449" s="467" t="s">
        <v>1159</v>
      </c>
      <c r="B449" s="468" t="s">
        <v>1160</v>
      </c>
      <c r="C449" s="469"/>
      <c r="D449" s="468"/>
      <c r="E449" s="470">
        <v>1847898.3</v>
      </c>
      <c r="F449" s="470">
        <v>1847898.3</v>
      </c>
      <c r="G449" s="470">
        <v>894052.44542999996</v>
      </c>
      <c r="H449" s="470">
        <v>890262.00818999996</v>
      </c>
      <c r="I449" s="471">
        <v>48.18</v>
      </c>
      <c r="J449" s="471"/>
    </row>
    <row r="450" spans="1:10" ht="38.25" hidden="1" outlineLevel="4">
      <c r="A450" s="472" t="s">
        <v>1159</v>
      </c>
      <c r="B450" s="473" t="s">
        <v>1160</v>
      </c>
      <c r="C450" s="474" t="s">
        <v>1058</v>
      </c>
      <c r="D450" s="473" t="s">
        <v>1059</v>
      </c>
      <c r="E450" s="475">
        <v>1847898.3</v>
      </c>
      <c r="F450" s="475">
        <v>1847898.3</v>
      </c>
      <c r="G450" s="475">
        <v>894052.44542999996</v>
      </c>
      <c r="H450" s="475">
        <v>890262.00818999996</v>
      </c>
      <c r="I450" s="471">
        <v>48.18</v>
      </c>
      <c r="J450" s="471"/>
    </row>
    <row r="451" spans="1:10" ht="38.25" hidden="1" outlineLevel="3">
      <c r="A451" s="467" t="s">
        <v>1161</v>
      </c>
      <c r="B451" s="468" t="s">
        <v>1162</v>
      </c>
      <c r="C451" s="469"/>
      <c r="D451" s="468"/>
      <c r="E451" s="470">
        <v>95964.6</v>
      </c>
      <c r="F451" s="470">
        <v>95964.6</v>
      </c>
      <c r="G451" s="470">
        <v>44354.126680000001</v>
      </c>
      <c r="H451" s="470">
        <v>43015.127139999997</v>
      </c>
      <c r="I451" s="471">
        <v>44.82</v>
      </c>
      <c r="J451" s="471"/>
    </row>
    <row r="452" spans="1:10" ht="38.25" hidden="1" outlineLevel="4">
      <c r="A452" s="472" t="s">
        <v>1161</v>
      </c>
      <c r="B452" s="473" t="s">
        <v>1162</v>
      </c>
      <c r="C452" s="474" t="s">
        <v>1058</v>
      </c>
      <c r="D452" s="473" t="s">
        <v>1059</v>
      </c>
      <c r="E452" s="475">
        <v>95964.6</v>
      </c>
      <c r="F452" s="475">
        <v>95964.6</v>
      </c>
      <c r="G452" s="475">
        <v>44354.126680000001</v>
      </c>
      <c r="H452" s="475">
        <v>43015.127139999997</v>
      </c>
      <c r="I452" s="471">
        <v>44.82</v>
      </c>
      <c r="J452" s="471"/>
    </row>
    <row r="453" spans="1:10" ht="25.5" hidden="1" outlineLevel="3">
      <c r="A453" s="467" t="s">
        <v>1163</v>
      </c>
      <c r="B453" s="468" t="s">
        <v>1164</v>
      </c>
      <c r="C453" s="469"/>
      <c r="D453" s="468"/>
      <c r="E453" s="470">
        <v>166314</v>
      </c>
      <c r="F453" s="470">
        <v>166314</v>
      </c>
      <c r="G453" s="470">
        <v>85407.646999999997</v>
      </c>
      <c r="H453" s="470">
        <v>84232.257769999997</v>
      </c>
      <c r="I453" s="471">
        <v>50.65</v>
      </c>
      <c r="J453" s="471"/>
    </row>
    <row r="454" spans="1:10" ht="25.5" hidden="1" outlineLevel="4">
      <c r="A454" s="472" t="s">
        <v>1163</v>
      </c>
      <c r="B454" s="473" t="s">
        <v>1164</v>
      </c>
      <c r="C454" s="474" t="s">
        <v>1058</v>
      </c>
      <c r="D454" s="473" t="s">
        <v>1059</v>
      </c>
      <c r="E454" s="475">
        <v>166314</v>
      </c>
      <c r="F454" s="475">
        <v>166314</v>
      </c>
      <c r="G454" s="475">
        <v>85407.646999999997</v>
      </c>
      <c r="H454" s="475">
        <v>84232.257769999997</v>
      </c>
      <c r="I454" s="471">
        <v>50.65</v>
      </c>
      <c r="J454" s="471"/>
    </row>
    <row r="455" spans="1:10" ht="38.25" hidden="1" outlineLevel="3">
      <c r="A455" s="467" t="s">
        <v>1165</v>
      </c>
      <c r="B455" s="468" t="s">
        <v>1166</v>
      </c>
      <c r="C455" s="469"/>
      <c r="D455" s="468"/>
      <c r="E455" s="470">
        <v>23.53773</v>
      </c>
      <c r="F455" s="470">
        <v>23.53773</v>
      </c>
      <c r="G455" s="470">
        <v>23.53773</v>
      </c>
      <c r="H455" s="470">
        <v>23.53773</v>
      </c>
      <c r="I455" s="471">
        <v>100</v>
      </c>
      <c r="J455" s="471"/>
    </row>
    <row r="456" spans="1:10" ht="38.25" hidden="1" outlineLevel="4">
      <c r="A456" s="472" t="s">
        <v>1165</v>
      </c>
      <c r="B456" s="473" t="s">
        <v>1166</v>
      </c>
      <c r="C456" s="474" t="s">
        <v>1058</v>
      </c>
      <c r="D456" s="473" t="s">
        <v>1059</v>
      </c>
      <c r="E456" s="475">
        <v>23.53773</v>
      </c>
      <c r="F456" s="475">
        <v>23.53773</v>
      </c>
      <c r="G456" s="475">
        <v>23.53773</v>
      </c>
      <c r="H456" s="475">
        <v>23.53773</v>
      </c>
      <c r="I456" s="471">
        <v>100</v>
      </c>
      <c r="J456" s="471"/>
    </row>
    <row r="457" spans="1:10" ht="38.25" hidden="1" outlineLevel="3">
      <c r="A457" s="467" t="s">
        <v>1167</v>
      </c>
      <c r="B457" s="468" t="s">
        <v>1168</v>
      </c>
      <c r="C457" s="469"/>
      <c r="D457" s="468"/>
      <c r="E457" s="470">
        <v>19.5</v>
      </c>
      <c r="F457" s="470">
        <v>19.5</v>
      </c>
      <c r="G457" s="470">
        <v>4.3362999999999996</v>
      </c>
      <c r="H457" s="470">
        <v>4.3362999999999996</v>
      </c>
      <c r="I457" s="471">
        <v>22.24</v>
      </c>
      <c r="J457" s="471"/>
    </row>
    <row r="458" spans="1:10" ht="38.25" hidden="1" outlineLevel="4">
      <c r="A458" s="472" t="s">
        <v>1167</v>
      </c>
      <c r="B458" s="473" t="s">
        <v>1168</v>
      </c>
      <c r="C458" s="474" t="s">
        <v>1058</v>
      </c>
      <c r="D458" s="473" t="s">
        <v>1059</v>
      </c>
      <c r="E458" s="475">
        <v>19.5</v>
      </c>
      <c r="F458" s="475">
        <v>19.5</v>
      </c>
      <c r="G458" s="475">
        <v>4.3362999999999996</v>
      </c>
      <c r="H458" s="475">
        <v>4.3362999999999996</v>
      </c>
      <c r="I458" s="471">
        <v>22.24</v>
      </c>
      <c r="J458" s="471"/>
    </row>
    <row r="459" spans="1:10" ht="51" hidden="1" outlineLevel="3">
      <c r="A459" s="467" t="s">
        <v>1169</v>
      </c>
      <c r="B459" s="468" t="s">
        <v>1170</v>
      </c>
      <c r="C459" s="469"/>
      <c r="D459" s="468"/>
      <c r="E459" s="470">
        <v>9.5</v>
      </c>
      <c r="F459" s="470">
        <v>9.5</v>
      </c>
      <c r="G459" s="470">
        <v>0</v>
      </c>
      <c r="H459" s="470">
        <v>0</v>
      </c>
      <c r="I459" s="471">
        <v>0</v>
      </c>
      <c r="J459" s="471"/>
    </row>
    <row r="460" spans="1:10" ht="51" hidden="1" outlineLevel="4">
      <c r="A460" s="472" t="s">
        <v>1169</v>
      </c>
      <c r="B460" s="473" t="s">
        <v>1170</v>
      </c>
      <c r="C460" s="474" t="s">
        <v>1058</v>
      </c>
      <c r="D460" s="473" t="s">
        <v>1059</v>
      </c>
      <c r="E460" s="475">
        <v>9.5</v>
      </c>
      <c r="F460" s="475">
        <v>9.5</v>
      </c>
      <c r="G460" s="475">
        <v>0</v>
      </c>
      <c r="H460" s="475">
        <v>0</v>
      </c>
      <c r="I460" s="471">
        <v>0</v>
      </c>
      <c r="J460" s="471"/>
    </row>
    <row r="461" spans="1:10" ht="63.75" hidden="1" outlineLevel="3">
      <c r="A461" s="467" t="s">
        <v>1171</v>
      </c>
      <c r="B461" s="468" t="s">
        <v>1172</v>
      </c>
      <c r="C461" s="469"/>
      <c r="D461" s="468"/>
      <c r="E461" s="470">
        <v>123.5</v>
      </c>
      <c r="F461" s="470">
        <v>123.5</v>
      </c>
      <c r="G461" s="470">
        <v>14.860900000000001</v>
      </c>
      <c r="H461" s="470">
        <v>9.9717000000000002</v>
      </c>
      <c r="I461" s="471">
        <v>8.07</v>
      </c>
      <c r="J461" s="471"/>
    </row>
    <row r="462" spans="1:10" ht="63.75" hidden="1" outlineLevel="4">
      <c r="A462" s="472" t="s">
        <v>1171</v>
      </c>
      <c r="B462" s="473" t="s">
        <v>1172</v>
      </c>
      <c r="C462" s="474" t="s">
        <v>1058</v>
      </c>
      <c r="D462" s="473" t="s">
        <v>1059</v>
      </c>
      <c r="E462" s="475">
        <v>123.5</v>
      </c>
      <c r="F462" s="475">
        <v>123.5</v>
      </c>
      <c r="G462" s="475">
        <v>14.860900000000001</v>
      </c>
      <c r="H462" s="475">
        <v>9.9717000000000002</v>
      </c>
      <c r="I462" s="471">
        <v>8.07</v>
      </c>
      <c r="J462" s="471"/>
    </row>
    <row r="463" spans="1:10" ht="51" hidden="1" outlineLevel="3">
      <c r="A463" s="467" t="s">
        <v>1173</v>
      </c>
      <c r="B463" s="468" t="s">
        <v>1174</v>
      </c>
      <c r="C463" s="469"/>
      <c r="D463" s="468"/>
      <c r="E463" s="470">
        <v>30961.46227</v>
      </c>
      <c r="F463" s="470">
        <v>30961.46227</v>
      </c>
      <c r="G463" s="470">
        <v>2273.7302</v>
      </c>
      <c r="H463" s="470">
        <v>1921.0651399999999</v>
      </c>
      <c r="I463" s="471">
        <v>6.2</v>
      </c>
      <c r="J463" s="471"/>
    </row>
    <row r="464" spans="1:10" ht="51" hidden="1" outlineLevel="4">
      <c r="A464" s="472" t="s">
        <v>1173</v>
      </c>
      <c r="B464" s="473" t="s">
        <v>1174</v>
      </c>
      <c r="C464" s="474" t="s">
        <v>1058</v>
      </c>
      <c r="D464" s="473" t="s">
        <v>1059</v>
      </c>
      <c r="E464" s="475">
        <v>30961.46227</v>
      </c>
      <c r="F464" s="475">
        <v>30961.46227</v>
      </c>
      <c r="G464" s="475">
        <v>2273.7302</v>
      </c>
      <c r="H464" s="475">
        <v>1921.0651399999999</v>
      </c>
      <c r="I464" s="471">
        <v>6.2</v>
      </c>
      <c r="J464" s="471"/>
    </row>
    <row r="465" spans="1:10" ht="38.25" hidden="1" outlineLevel="3">
      <c r="A465" s="467" t="s">
        <v>1175</v>
      </c>
      <c r="B465" s="468" t="s">
        <v>1176</v>
      </c>
      <c r="C465" s="469"/>
      <c r="D465" s="468"/>
      <c r="E465" s="470">
        <v>2000</v>
      </c>
      <c r="F465" s="470">
        <v>2000</v>
      </c>
      <c r="G465" s="470">
        <v>1200</v>
      </c>
      <c r="H465" s="470">
        <v>776.9</v>
      </c>
      <c r="I465" s="471">
        <v>38.85</v>
      </c>
      <c r="J465" s="471"/>
    </row>
    <row r="466" spans="1:10" ht="38.25" hidden="1" outlineLevel="4">
      <c r="A466" s="472" t="s">
        <v>1175</v>
      </c>
      <c r="B466" s="473" t="s">
        <v>1176</v>
      </c>
      <c r="C466" s="474" t="s">
        <v>1058</v>
      </c>
      <c r="D466" s="473" t="s">
        <v>1059</v>
      </c>
      <c r="E466" s="475">
        <v>2000</v>
      </c>
      <c r="F466" s="475">
        <v>2000</v>
      </c>
      <c r="G466" s="475">
        <v>1200</v>
      </c>
      <c r="H466" s="475">
        <v>776.9</v>
      </c>
      <c r="I466" s="471">
        <v>38.85</v>
      </c>
      <c r="J466" s="471"/>
    </row>
    <row r="467" spans="1:10" ht="51" hidden="1" outlineLevel="3">
      <c r="A467" s="467" t="s">
        <v>1177</v>
      </c>
      <c r="B467" s="468" t="s">
        <v>1178</v>
      </c>
      <c r="C467" s="469"/>
      <c r="D467" s="468"/>
      <c r="E467" s="470">
        <v>2000</v>
      </c>
      <c r="F467" s="470">
        <v>2000</v>
      </c>
      <c r="G467" s="470">
        <v>1200</v>
      </c>
      <c r="H467" s="470">
        <v>1013</v>
      </c>
      <c r="I467" s="471">
        <v>50.65</v>
      </c>
      <c r="J467" s="471"/>
    </row>
    <row r="468" spans="1:10" ht="51" hidden="1" outlineLevel="4">
      <c r="A468" s="472" t="s">
        <v>1177</v>
      </c>
      <c r="B468" s="473" t="s">
        <v>1178</v>
      </c>
      <c r="C468" s="474" t="s">
        <v>1058</v>
      </c>
      <c r="D468" s="473" t="s">
        <v>1059</v>
      </c>
      <c r="E468" s="475">
        <v>2000</v>
      </c>
      <c r="F468" s="475">
        <v>2000</v>
      </c>
      <c r="G468" s="475">
        <v>1200</v>
      </c>
      <c r="H468" s="475">
        <v>1013</v>
      </c>
      <c r="I468" s="471">
        <v>50.65</v>
      </c>
      <c r="J468" s="471"/>
    </row>
    <row r="469" spans="1:10" ht="76.5" hidden="1" outlineLevel="3">
      <c r="A469" s="467" t="s">
        <v>1179</v>
      </c>
      <c r="B469" s="468" t="s">
        <v>1180</v>
      </c>
      <c r="C469" s="469"/>
      <c r="D469" s="468"/>
      <c r="E469" s="470">
        <v>46.8</v>
      </c>
      <c r="F469" s="470">
        <v>46.8</v>
      </c>
      <c r="G469" s="470">
        <v>0</v>
      </c>
      <c r="H469" s="470">
        <v>0</v>
      </c>
      <c r="I469" s="471">
        <v>0</v>
      </c>
      <c r="J469" s="471"/>
    </row>
    <row r="470" spans="1:10" ht="76.5" hidden="1" outlineLevel="4">
      <c r="A470" s="472" t="s">
        <v>1179</v>
      </c>
      <c r="B470" s="473" t="s">
        <v>1180</v>
      </c>
      <c r="C470" s="474" t="s">
        <v>1058</v>
      </c>
      <c r="D470" s="473" t="s">
        <v>1059</v>
      </c>
      <c r="E470" s="475">
        <v>46.8</v>
      </c>
      <c r="F470" s="475">
        <v>46.8</v>
      </c>
      <c r="G470" s="475">
        <v>0</v>
      </c>
      <c r="H470" s="475">
        <v>0</v>
      </c>
      <c r="I470" s="471">
        <v>0</v>
      </c>
      <c r="J470" s="471"/>
    </row>
    <row r="471" spans="1:10" ht="114.75" hidden="1" outlineLevel="3">
      <c r="A471" s="467" t="s">
        <v>1181</v>
      </c>
      <c r="B471" s="468" t="s">
        <v>1182</v>
      </c>
      <c r="C471" s="469"/>
      <c r="D471" s="468"/>
      <c r="E471" s="470">
        <v>385</v>
      </c>
      <c r="F471" s="470">
        <v>385</v>
      </c>
      <c r="G471" s="470">
        <v>95.161580000000001</v>
      </c>
      <c r="H471" s="470">
        <v>90.161580000000001</v>
      </c>
      <c r="I471" s="471">
        <v>23.42</v>
      </c>
      <c r="J471" s="471"/>
    </row>
    <row r="472" spans="1:10" ht="114.75" hidden="1" outlineLevel="4">
      <c r="A472" s="472" t="s">
        <v>1181</v>
      </c>
      <c r="B472" s="473" t="s">
        <v>1182</v>
      </c>
      <c r="C472" s="474" t="s">
        <v>1058</v>
      </c>
      <c r="D472" s="473" t="s">
        <v>1059</v>
      </c>
      <c r="E472" s="475">
        <v>385</v>
      </c>
      <c r="F472" s="475">
        <v>385</v>
      </c>
      <c r="G472" s="475">
        <v>95.161580000000001</v>
      </c>
      <c r="H472" s="475">
        <v>90.161580000000001</v>
      </c>
      <c r="I472" s="471">
        <v>23.42</v>
      </c>
      <c r="J472" s="471"/>
    </row>
    <row r="473" spans="1:10" ht="89.25" hidden="1" outlineLevel="3">
      <c r="A473" s="467" t="s">
        <v>1183</v>
      </c>
      <c r="B473" s="468" t="s">
        <v>1184</v>
      </c>
      <c r="C473" s="469"/>
      <c r="D473" s="468"/>
      <c r="E473" s="470">
        <v>1092</v>
      </c>
      <c r="F473" s="470">
        <v>1092</v>
      </c>
      <c r="G473" s="470">
        <v>700</v>
      </c>
      <c r="H473" s="470">
        <v>695.39185999999995</v>
      </c>
      <c r="I473" s="471">
        <v>63.68</v>
      </c>
      <c r="J473" s="471"/>
    </row>
    <row r="474" spans="1:10" ht="89.25" hidden="1" outlineLevel="4">
      <c r="A474" s="472" t="s">
        <v>1183</v>
      </c>
      <c r="B474" s="473" t="s">
        <v>1184</v>
      </c>
      <c r="C474" s="474" t="s">
        <v>1058</v>
      </c>
      <c r="D474" s="473" t="s">
        <v>1059</v>
      </c>
      <c r="E474" s="475">
        <v>1092</v>
      </c>
      <c r="F474" s="475">
        <v>1092</v>
      </c>
      <c r="G474" s="475">
        <v>700</v>
      </c>
      <c r="H474" s="475">
        <v>695.39185999999995</v>
      </c>
      <c r="I474" s="471">
        <v>63.68</v>
      </c>
      <c r="J474" s="471"/>
    </row>
    <row r="475" spans="1:10" ht="114.75" hidden="1" outlineLevel="3">
      <c r="A475" s="467" t="s">
        <v>1185</v>
      </c>
      <c r="B475" s="468" t="s">
        <v>1186</v>
      </c>
      <c r="C475" s="469"/>
      <c r="D475" s="468"/>
      <c r="E475" s="470">
        <v>3236.2</v>
      </c>
      <c r="F475" s="470">
        <v>3236.2</v>
      </c>
      <c r="G475" s="470">
        <v>1664.5245399999999</v>
      </c>
      <c r="H475" s="470">
        <v>1664.5245399999999</v>
      </c>
      <c r="I475" s="471">
        <v>51.43</v>
      </c>
      <c r="J475" s="471"/>
    </row>
    <row r="476" spans="1:10" ht="114.75" hidden="1" outlineLevel="4">
      <c r="A476" s="472" t="s">
        <v>1185</v>
      </c>
      <c r="B476" s="473" t="s">
        <v>1186</v>
      </c>
      <c r="C476" s="474" t="s">
        <v>1058</v>
      </c>
      <c r="D476" s="473" t="s">
        <v>1059</v>
      </c>
      <c r="E476" s="475">
        <v>3236.2</v>
      </c>
      <c r="F476" s="475">
        <v>3236.2</v>
      </c>
      <c r="G476" s="475">
        <v>1664.5245399999999</v>
      </c>
      <c r="H476" s="475">
        <v>1664.5245399999999</v>
      </c>
      <c r="I476" s="471">
        <v>51.43</v>
      </c>
      <c r="J476" s="471"/>
    </row>
    <row r="477" spans="1:10" ht="102" hidden="1" outlineLevel="3">
      <c r="A477" s="467" t="s">
        <v>1187</v>
      </c>
      <c r="B477" s="468" t="s">
        <v>1188</v>
      </c>
      <c r="C477" s="469"/>
      <c r="D477" s="468"/>
      <c r="E477" s="470">
        <v>83685.3</v>
      </c>
      <c r="F477" s="470">
        <v>83685.3</v>
      </c>
      <c r="G477" s="470">
        <v>42083.13248</v>
      </c>
      <c r="H477" s="470">
        <v>41836.034469999999</v>
      </c>
      <c r="I477" s="471">
        <v>49.99</v>
      </c>
      <c r="J477" s="471"/>
    </row>
    <row r="478" spans="1:10" ht="102" hidden="1" outlineLevel="4">
      <c r="A478" s="472" t="s">
        <v>1187</v>
      </c>
      <c r="B478" s="473" t="s">
        <v>1188</v>
      </c>
      <c r="C478" s="474" t="s">
        <v>1058</v>
      </c>
      <c r="D478" s="473" t="s">
        <v>1059</v>
      </c>
      <c r="E478" s="475">
        <v>83685.3</v>
      </c>
      <c r="F478" s="475">
        <v>83685.3</v>
      </c>
      <c r="G478" s="475">
        <v>42083.13248</v>
      </c>
      <c r="H478" s="475">
        <v>41836.034469999999</v>
      </c>
      <c r="I478" s="471">
        <v>49.99</v>
      </c>
      <c r="J478" s="471"/>
    </row>
    <row r="479" spans="1:10" ht="76.5" hidden="1" outlineLevel="3">
      <c r="A479" s="467" t="s">
        <v>1189</v>
      </c>
      <c r="B479" s="468" t="s">
        <v>1190</v>
      </c>
      <c r="C479" s="469"/>
      <c r="D479" s="468"/>
      <c r="E479" s="470">
        <v>5211.1000000000004</v>
      </c>
      <c r="F479" s="470">
        <v>5211.1000000000004</v>
      </c>
      <c r="G479" s="470">
        <v>1757.1376</v>
      </c>
      <c r="H479" s="470">
        <v>1663.4219399999999</v>
      </c>
      <c r="I479" s="471">
        <v>31.92</v>
      </c>
      <c r="J479" s="471"/>
    </row>
    <row r="480" spans="1:10" ht="76.5" hidden="1" outlineLevel="4">
      <c r="A480" s="472" t="s">
        <v>1189</v>
      </c>
      <c r="B480" s="473" t="s">
        <v>1190</v>
      </c>
      <c r="C480" s="474" t="s">
        <v>1058</v>
      </c>
      <c r="D480" s="473" t="s">
        <v>1059</v>
      </c>
      <c r="E480" s="475">
        <v>5211.1000000000004</v>
      </c>
      <c r="F480" s="475">
        <v>5211.1000000000004</v>
      </c>
      <c r="G480" s="475">
        <v>1757.1376</v>
      </c>
      <c r="H480" s="475">
        <v>1663.4219399999999</v>
      </c>
      <c r="I480" s="471">
        <v>31.92</v>
      </c>
      <c r="J480" s="471"/>
    </row>
    <row r="481" spans="1:10" ht="25.5" hidden="1" outlineLevel="3">
      <c r="A481" s="467" t="s">
        <v>728</v>
      </c>
      <c r="B481" s="468" t="s">
        <v>1191</v>
      </c>
      <c r="C481" s="469"/>
      <c r="D481" s="468"/>
      <c r="E481" s="470">
        <v>20461.8</v>
      </c>
      <c r="F481" s="470">
        <v>20461.8</v>
      </c>
      <c r="G481" s="470">
        <v>614.64216999999996</v>
      </c>
      <c r="H481" s="470">
        <v>591.51625000000001</v>
      </c>
      <c r="I481" s="471">
        <v>2.89</v>
      </c>
      <c r="J481" s="471"/>
    </row>
    <row r="482" spans="1:10" ht="25.5" hidden="1" outlineLevel="4">
      <c r="A482" s="472" t="s">
        <v>728</v>
      </c>
      <c r="B482" s="473" t="s">
        <v>1191</v>
      </c>
      <c r="C482" s="474" t="s">
        <v>1058</v>
      </c>
      <c r="D482" s="473" t="s">
        <v>1059</v>
      </c>
      <c r="E482" s="475">
        <v>20461.8</v>
      </c>
      <c r="F482" s="475">
        <v>20461.8</v>
      </c>
      <c r="G482" s="475">
        <v>614.64216999999996</v>
      </c>
      <c r="H482" s="475">
        <v>591.51625000000001</v>
      </c>
      <c r="I482" s="471">
        <v>2.89</v>
      </c>
      <c r="J482" s="471"/>
    </row>
    <row r="483" spans="1:10" ht="63.75" hidden="1" outlineLevel="3">
      <c r="A483" s="467" t="s">
        <v>1192</v>
      </c>
      <c r="B483" s="468" t="s">
        <v>1193</v>
      </c>
      <c r="C483" s="469"/>
      <c r="D483" s="468"/>
      <c r="E483" s="470">
        <v>9353.2000000000007</v>
      </c>
      <c r="F483" s="470">
        <v>9353.2000000000007</v>
      </c>
      <c r="G483" s="470">
        <v>3620.8261299999999</v>
      </c>
      <c r="H483" s="470">
        <v>3619.2085999999999</v>
      </c>
      <c r="I483" s="471">
        <v>38.69</v>
      </c>
      <c r="J483" s="471"/>
    </row>
    <row r="484" spans="1:10" ht="63.75" hidden="1" outlineLevel="4">
      <c r="A484" s="472" t="s">
        <v>1192</v>
      </c>
      <c r="B484" s="473" t="s">
        <v>1193</v>
      </c>
      <c r="C484" s="474" t="s">
        <v>1058</v>
      </c>
      <c r="D484" s="473" t="s">
        <v>1059</v>
      </c>
      <c r="E484" s="475">
        <v>9353.2000000000007</v>
      </c>
      <c r="F484" s="475">
        <v>9353.2000000000007</v>
      </c>
      <c r="G484" s="475">
        <v>3620.8261299999999</v>
      </c>
      <c r="H484" s="475">
        <v>3619.2085999999999</v>
      </c>
      <c r="I484" s="471">
        <v>38.69</v>
      </c>
      <c r="J484" s="476" t="s">
        <v>10</v>
      </c>
    </row>
    <row r="485" spans="1:10" ht="63.75" hidden="1" outlineLevel="3">
      <c r="A485" s="467" t="s">
        <v>1194</v>
      </c>
      <c r="B485" s="468" t="s">
        <v>1195</v>
      </c>
      <c r="C485" s="469"/>
      <c r="D485" s="468"/>
      <c r="E485" s="470">
        <v>68474.7</v>
      </c>
      <c r="F485" s="470">
        <v>68474.7</v>
      </c>
      <c r="G485" s="470">
        <v>64924.422420000003</v>
      </c>
      <c r="H485" s="470">
        <v>64218.171369999996</v>
      </c>
      <c r="I485" s="471">
        <v>93.78</v>
      </c>
      <c r="J485" s="471"/>
    </row>
    <row r="486" spans="1:10" ht="63.75" hidden="1" outlineLevel="4">
      <c r="A486" s="472" t="s">
        <v>1194</v>
      </c>
      <c r="B486" s="473" t="s">
        <v>1195</v>
      </c>
      <c r="C486" s="474" t="s">
        <v>1058</v>
      </c>
      <c r="D486" s="473" t="s">
        <v>1059</v>
      </c>
      <c r="E486" s="475">
        <v>68474.7</v>
      </c>
      <c r="F486" s="475">
        <v>68474.7</v>
      </c>
      <c r="G486" s="475">
        <v>64924.422420000003</v>
      </c>
      <c r="H486" s="475">
        <v>64218.171369999996</v>
      </c>
      <c r="I486" s="471">
        <v>93.78</v>
      </c>
      <c r="J486" s="476" t="s">
        <v>10</v>
      </c>
    </row>
    <row r="487" spans="1:10" ht="102" hidden="1" outlineLevel="3">
      <c r="A487" s="467" t="s">
        <v>1196</v>
      </c>
      <c r="B487" s="468" t="s">
        <v>1197</v>
      </c>
      <c r="C487" s="469"/>
      <c r="D487" s="468"/>
      <c r="E487" s="470">
        <v>16.600000000000001</v>
      </c>
      <c r="F487" s="470">
        <v>16.600000000000001</v>
      </c>
      <c r="G487" s="470">
        <v>8.0168999999999997</v>
      </c>
      <c r="H487" s="470">
        <v>8.0168999999999997</v>
      </c>
      <c r="I487" s="471">
        <v>48.29</v>
      </c>
      <c r="J487" s="471"/>
    </row>
    <row r="488" spans="1:10" ht="102" hidden="1" outlineLevel="4">
      <c r="A488" s="472" t="s">
        <v>1196</v>
      </c>
      <c r="B488" s="473" t="s">
        <v>1197</v>
      </c>
      <c r="C488" s="474" t="s">
        <v>1058</v>
      </c>
      <c r="D488" s="473" t="s">
        <v>1059</v>
      </c>
      <c r="E488" s="475">
        <v>16.600000000000001</v>
      </c>
      <c r="F488" s="475">
        <v>16.600000000000001</v>
      </c>
      <c r="G488" s="475">
        <v>8.0168999999999997</v>
      </c>
      <c r="H488" s="475">
        <v>8.0168999999999997</v>
      </c>
      <c r="I488" s="471">
        <v>48.29</v>
      </c>
      <c r="J488" s="476" t="s">
        <v>10</v>
      </c>
    </row>
    <row r="489" spans="1:10" ht="25.5" hidden="1" outlineLevel="3">
      <c r="A489" s="467" t="s">
        <v>1198</v>
      </c>
      <c r="B489" s="468" t="s">
        <v>1199</v>
      </c>
      <c r="C489" s="469"/>
      <c r="D489" s="468"/>
      <c r="E489" s="470">
        <v>596632.9</v>
      </c>
      <c r="F489" s="470">
        <v>596632.9</v>
      </c>
      <c r="G489" s="470">
        <v>190768.78779999999</v>
      </c>
      <c r="H489" s="470">
        <v>187691.3628</v>
      </c>
      <c r="I489" s="471">
        <v>31.46</v>
      </c>
      <c r="J489" s="471"/>
    </row>
    <row r="490" spans="1:10" ht="25.5" hidden="1" outlineLevel="4">
      <c r="A490" s="472" t="s">
        <v>1198</v>
      </c>
      <c r="B490" s="473" t="s">
        <v>1199</v>
      </c>
      <c r="C490" s="474" t="s">
        <v>1058</v>
      </c>
      <c r="D490" s="473" t="s">
        <v>1059</v>
      </c>
      <c r="E490" s="475">
        <v>596632.9</v>
      </c>
      <c r="F490" s="475">
        <v>596632.9</v>
      </c>
      <c r="G490" s="475">
        <v>190768.78779999999</v>
      </c>
      <c r="H490" s="475">
        <v>187691.3628</v>
      </c>
      <c r="I490" s="471">
        <v>31.46</v>
      </c>
      <c r="J490" s="476" t="s">
        <v>10</v>
      </c>
    </row>
    <row r="491" spans="1:10" ht="114.75" hidden="1" outlineLevel="3">
      <c r="A491" s="467" t="s">
        <v>1200</v>
      </c>
      <c r="B491" s="468" t="s">
        <v>1201</v>
      </c>
      <c r="C491" s="469"/>
      <c r="D491" s="468"/>
      <c r="E491" s="470">
        <v>4398.3999999999996</v>
      </c>
      <c r="F491" s="470">
        <v>4398.3999999999996</v>
      </c>
      <c r="G491" s="470">
        <v>1313.0216399999999</v>
      </c>
      <c r="H491" s="470">
        <v>1303.6404700000001</v>
      </c>
      <c r="I491" s="471">
        <v>29.64</v>
      </c>
      <c r="J491" s="471"/>
    </row>
    <row r="492" spans="1:10" ht="114.75" hidden="1" outlineLevel="4">
      <c r="A492" s="472" t="s">
        <v>1200</v>
      </c>
      <c r="B492" s="473" t="s">
        <v>1201</v>
      </c>
      <c r="C492" s="474" t="s">
        <v>1058</v>
      </c>
      <c r="D492" s="473" t="s">
        <v>1059</v>
      </c>
      <c r="E492" s="475">
        <v>4398.3999999999996</v>
      </c>
      <c r="F492" s="475">
        <v>4398.3999999999996</v>
      </c>
      <c r="G492" s="475">
        <v>1313.0216399999999</v>
      </c>
      <c r="H492" s="475">
        <v>1303.6404700000001</v>
      </c>
      <c r="I492" s="471">
        <v>29.64</v>
      </c>
      <c r="J492" s="476" t="s">
        <v>10</v>
      </c>
    </row>
    <row r="493" spans="1:10" ht="114.75" hidden="1" outlineLevel="3">
      <c r="A493" s="467" t="s">
        <v>1202</v>
      </c>
      <c r="B493" s="468" t="s">
        <v>1203</v>
      </c>
      <c r="C493" s="469"/>
      <c r="D493" s="468"/>
      <c r="E493" s="470">
        <v>108.8</v>
      </c>
      <c r="F493" s="470">
        <v>108.8</v>
      </c>
      <c r="G493" s="470">
        <v>98.240759999999995</v>
      </c>
      <c r="H493" s="470">
        <v>98.240759999999995</v>
      </c>
      <c r="I493" s="471">
        <v>90.29</v>
      </c>
      <c r="J493" s="471"/>
    </row>
    <row r="494" spans="1:10" ht="114.75" hidden="1" outlineLevel="4">
      <c r="A494" s="472" t="s">
        <v>1202</v>
      </c>
      <c r="B494" s="473" t="s">
        <v>1203</v>
      </c>
      <c r="C494" s="474" t="s">
        <v>1058</v>
      </c>
      <c r="D494" s="473" t="s">
        <v>1059</v>
      </c>
      <c r="E494" s="475">
        <v>108.8</v>
      </c>
      <c r="F494" s="475">
        <v>108.8</v>
      </c>
      <c r="G494" s="475">
        <v>98.240759999999995</v>
      </c>
      <c r="H494" s="475">
        <v>98.240759999999995</v>
      </c>
      <c r="I494" s="471">
        <v>90.29</v>
      </c>
      <c r="J494" s="476" t="s">
        <v>10</v>
      </c>
    </row>
    <row r="495" spans="1:10" ht="140.25" hidden="1" outlineLevel="3">
      <c r="A495" s="467" t="s">
        <v>1204</v>
      </c>
      <c r="B495" s="468" t="s">
        <v>1205</v>
      </c>
      <c r="C495" s="469"/>
      <c r="D495" s="468"/>
      <c r="E495" s="470">
        <v>355731.1</v>
      </c>
      <c r="F495" s="470">
        <v>355731.1</v>
      </c>
      <c r="G495" s="470">
        <v>155861.67378000001</v>
      </c>
      <c r="H495" s="470">
        <v>154288.15416000001</v>
      </c>
      <c r="I495" s="471">
        <v>43.37</v>
      </c>
      <c r="J495" s="471"/>
    </row>
    <row r="496" spans="1:10" ht="140.25" hidden="1" outlineLevel="4">
      <c r="A496" s="472" t="s">
        <v>1204</v>
      </c>
      <c r="B496" s="473" t="s">
        <v>1205</v>
      </c>
      <c r="C496" s="474" t="s">
        <v>1058</v>
      </c>
      <c r="D496" s="473" t="s">
        <v>1059</v>
      </c>
      <c r="E496" s="475">
        <v>355731.1</v>
      </c>
      <c r="F496" s="475">
        <v>355731.1</v>
      </c>
      <c r="G496" s="475">
        <v>155861.67378000001</v>
      </c>
      <c r="H496" s="475">
        <v>154288.15416000001</v>
      </c>
      <c r="I496" s="471">
        <v>43.37</v>
      </c>
      <c r="J496" s="476" t="s">
        <v>10</v>
      </c>
    </row>
    <row r="497" spans="1:10" ht="140.25" hidden="1" outlineLevel="3">
      <c r="A497" s="467" t="s">
        <v>1204</v>
      </c>
      <c r="B497" s="468" t="s">
        <v>1206</v>
      </c>
      <c r="C497" s="469"/>
      <c r="D497" s="468"/>
      <c r="E497" s="470">
        <v>40601.800000000003</v>
      </c>
      <c r="F497" s="470">
        <v>40601.800000000003</v>
      </c>
      <c r="G497" s="470">
        <v>0</v>
      </c>
      <c r="H497" s="470">
        <v>0</v>
      </c>
      <c r="I497" s="471">
        <v>0</v>
      </c>
      <c r="J497" s="471"/>
    </row>
    <row r="498" spans="1:10" ht="140.25" hidden="1" outlineLevel="4">
      <c r="A498" s="472" t="s">
        <v>1204</v>
      </c>
      <c r="B498" s="473" t="s">
        <v>1206</v>
      </c>
      <c r="C498" s="474" t="s">
        <v>1058</v>
      </c>
      <c r="D498" s="473" t="s">
        <v>1059</v>
      </c>
      <c r="E498" s="475">
        <v>40601.800000000003</v>
      </c>
      <c r="F498" s="475">
        <v>40601.800000000003</v>
      </c>
      <c r="G498" s="475">
        <v>0</v>
      </c>
      <c r="H498" s="475">
        <v>0</v>
      </c>
      <c r="I498" s="471">
        <v>0</v>
      </c>
      <c r="J498" s="476" t="s">
        <v>10</v>
      </c>
    </row>
    <row r="499" spans="1:10" ht="89.25" hidden="1" outlineLevel="3">
      <c r="A499" s="467" t="s">
        <v>1207</v>
      </c>
      <c r="B499" s="468" t="s">
        <v>1208</v>
      </c>
      <c r="C499" s="469"/>
      <c r="D499" s="468"/>
      <c r="E499" s="470">
        <v>985.6</v>
      </c>
      <c r="F499" s="470">
        <v>985.6</v>
      </c>
      <c r="G499" s="470">
        <v>518.85299999999995</v>
      </c>
      <c r="H499" s="470">
        <v>327.52032000000003</v>
      </c>
      <c r="I499" s="471">
        <v>33.229999999999997</v>
      </c>
      <c r="J499" s="471"/>
    </row>
    <row r="500" spans="1:10" ht="89.25" hidden="1" outlineLevel="4">
      <c r="A500" s="472" t="s">
        <v>1207</v>
      </c>
      <c r="B500" s="473" t="s">
        <v>1208</v>
      </c>
      <c r="C500" s="474" t="s">
        <v>1058</v>
      </c>
      <c r="D500" s="473" t="s">
        <v>1059</v>
      </c>
      <c r="E500" s="475">
        <v>985.6</v>
      </c>
      <c r="F500" s="475">
        <v>985.6</v>
      </c>
      <c r="G500" s="475">
        <v>518.85299999999995</v>
      </c>
      <c r="H500" s="475">
        <v>327.52032000000003</v>
      </c>
      <c r="I500" s="471">
        <v>33.229999999999997</v>
      </c>
      <c r="J500" s="471"/>
    </row>
    <row r="501" spans="1:10" ht="89.25" hidden="1" outlineLevel="3">
      <c r="A501" s="467" t="s">
        <v>1209</v>
      </c>
      <c r="B501" s="468" t="s">
        <v>1210</v>
      </c>
      <c r="C501" s="469"/>
      <c r="D501" s="468"/>
      <c r="E501" s="470">
        <v>151077.20000000001</v>
      </c>
      <c r="F501" s="470">
        <v>151077.20000000001</v>
      </c>
      <c r="G501" s="470">
        <v>69931.505879999997</v>
      </c>
      <c r="H501" s="470">
        <v>64608.938620000001</v>
      </c>
      <c r="I501" s="471">
        <v>42.77</v>
      </c>
      <c r="J501" s="471"/>
    </row>
    <row r="502" spans="1:10" ht="89.25" hidden="1" outlineLevel="4">
      <c r="A502" s="472" t="s">
        <v>1209</v>
      </c>
      <c r="B502" s="473" t="s">
        <v>1210</v>
      </c>
      <c r="C502" s="474" t="s">
        <v>1058</v>
      </c>
      <c r="D502" s="473" t="s">
        <v>1059</v>
      </c>
      <c r="E502" s="475">
        <v>151077.20000000001</v>
      </c>
      <c r="F502" s="475">
        <v>151077.20000000001</v>
      </c>
      <c r="G502" s="475">
        <v>69931.505879999997</v>
      </c>
      <c r="H502" s="475">
        <v>64608.938620000001</v>
      </c>
      <c r="I502" s="471">
        <v>42.77</v>
      </c>
      <c r="J502" s="471"/>
    </row>
    <row r="503" spans="1:10" ht="204" hidden="1" outlineLevel="3">
      <c r="A503" s="467" t="s">
        <v>1211</v>
      </c>
      <c r="B503" s="468" t="s">
        <v>1212</v>
      </c>
      <c r="C503" s="469"/>
      <c r="D503" s="468"/>
      <c r="E503" s="470">
        <v>5153.1000000000004</v>
      </c>
      <c r="F503" s="470">
        <v>5153.1000000000004</v>
      </c>
      <c r="G503" s="470">
        <v>2800</v>
      </c>
      <c r="H503" s="470">
        <v>2251.9627500000001</v>
      </c>
      <c r="I503" s="471">
        <v>43.7</v>
      </c>
      <c r="J503" s="471"/>
    </row>
    <row r="504" spans="1:10" ht="204" hidden="1" outlineLevel="4">
      <c r="A504" s="472" t="s">
        <v>1211</v>
      </c>
      <c r="B504" s="473" t="s">
        <v>1212</v>
      </c>
      <c r="C504" s="474" t="s">
        <v>1058</v>
      </c>
      <c r="D504" s="473" t="s">
        <v>1059</v>
      </c>
      <c r="E504" s="475">
        <v>5153.1000000000004</v>
      </c>
      <c r="F504" s="475">
        <v>5153.1000000000004</v>
      </c>
      <c r="G504" s="475">
        <v>2800</v>
      </c>
      <c r="H504" s="475">
        <v>2251.9627500000001</v>
      </c>
      <c r="I504" s="471">
        <v>43.7</v>
      </c>
      <c r="J504" s="471"/>
    </row>
    <row r="505" spans="1:10" ht="204" hidden="1" outlineLevel="3">
      <c r="A505" s="467" t="s">
        <v>1213</v>
      </c>
      <c r="B505" s="468" t="s">
        <v>1214</v>
      </c>
      <c r="C505" s="469"/>
      <c r="D505" s="468"/>
      <c r="E505" s="470">
        <v>36.799999999999997</v>
      </c>
      <c r="F505" s="470">
        <v>36.799999999999997</v>
      </c>
      <c r="G505" s="470">
        <v>0</v>
      </c>
      <c r="H505" s="470">
        <v>0</v>
      </c>
      <c r="I505" s="471">
        <v>0</v>
      </c>
      <c r="J505" s="471"/>
    </row>
    <row r="506" spans="1:10" ht="204" hidden="1" outlineLevel="4">
      <c r="A506" s="472" t="s">
        <v>1213</v>
      </c>
      <c r="B506" s="473" t="s">
        <v>1214</v>
      </c>
      <c r="C506" s="474" t="s">
        <v>1058</v>
      </c>
      <c r="D506" s="473" t="s">
        <v>1059</v>
      </c>
      <c r="E506" s="475">
        <v>36.799999999999997</v>
      </c>
      <c r="F506" s="475">
        <v>36.799999999999997</v>
      </c>
      <c r="G506" s="475">
        <v>0</v>
      </c>
      <c r="H506" s="475">
        <v>0</v>
      </c>
      <c r="I506" s="471">
        <v>0</v>
      </c>
      <c r="J506" s="471"/>
    </row>
    <row r="507" spans="1:10" ht="38.25" hidden="1" outlineLevel="3">
      <c r="A507" s="467" t="s">
        <v>1215</v>
      </c>
      <c r="B507" s="468" t="s">
        <v>1216</v>
      </c>
      <c r="C507" s="469"/>
      <c r="D507" s="468"/>
      <c r="E507" s="470">
        <v>2707.8</v>
      </c>
      <c r="F507" s="470">
        <v>2707.8</v>
      </c>
      <c r="G507" s="470">
        <v>794.80373999999995</v>
      </c>
      <c r="H507" s="470">
        <v>713.66423999999995</v>
      </c>
      <c r="I507" s="471">
        <v>26.36</v>
      </c>
      <c r="J507" s="471"/>
    </row>
    <row r="508" spans="1:10" ht="38.25" hidden="1" outlineLevel="4">
      <c r="A508" s="472" t="s">
        <v>1215</v>
      </c>
      <c r="B508" s="473" t="s">
        <v>1216</v>
      </c>
      <c r="C508" s="474" t="s">
        <v>1058</v>
      </c>
      <c r="D508" s="473" t="s">
        <v>1059</v>
      </c>
      <c r="E508" s="475">
        <v>2707.8</v>
      </c>
      <c r="F508" s="475">
        <v>2707.8</v>
      </c>
      <c r="G508" s="475">
        <v>794.80373999999995</v>
      </c>
      <c r="H508" s="475">
        <v>713.66423999999995</v>
      </c>
      <c r="I508" s="471">
        <v>26.36</v>
      </c>
      <c r="J508" s="471"/>
    </row>
    <row r="509" spans="1:10" ht="102" hidden="1" outlineLevel="3">
      <c r="A509" s="467" t="s">
        <v>1217</v>
      </c>
      <c r="B509" s="468" t="s">
        <v>1218</v>
      </c>
      <c r="C509" s="469"/>
      <c r="D509" s="468"/>
      <c r="E509" s="470">
        <v>15927.7</v>
      </c>
      <c r="F509" s="470">
        <v>15927.7</v>
      </c>
      <c r="G509" s="470">
        <v>7237.9442099999997</v>
      </c>
      <c r="H509" s="470">
        <v>5746.0810199999996</v>
      </c>
      <c r="I509" s="471">
        <v>36.08</v>
      </c>
      <c r="J509" s="471"/>
    </row>
    <row r="510" spans="1:10" ht="102" hidden="1" outlineLevel="4">
      <c r="A510" s="472" t="s">
        <v>1217</v>
      </c>
      <c r="B510" s="473" t="s">
        <v>1218</v>
      </c>
      <c r="C510" s="474" t="s">
        <v>1058</v>
      </c>
      <c r="D510" s="473" t="s">
        <v>1059</v>
      </c>
      <c r="E510" s="475">
        <v>15927.7</v>
      </c>
      <c r="F510" s="475">
        <v>15927.7</v>
      </c>
      <c r="G510" s="475">
        <v>7237.9442099999997</v>
      </c>
      <c r="H510" s="475">
        <v>5746.0810199999996</v>
      </c>
      <c r="I510" s="471">
        <v>36.08</v>
      </c>
      <c r="J510" s="471"/>
    </row>
    <row r="511" spans="1:10" ht="102" hidden="1" outlineLevel="3">
      <c r="A511" s="467" t="s">
        <v>1219</v>
      </c>
      <c r="B511" s="468" t="s">
        <v>1220</v>
      </c>
      <c r="C511" s="469"/>
      <c r="D511" s="468"/>
      <c r="E511" s="470">
        <v>3362.5</v>
      </c>
      <c r="F511" s="470">
        <v>3362.5</v>
      </c>
      <c r="G511" s="470">
        <v>1874.6410000000001</v>
      </c>
      <c r="H511" s="470">
        <v>1791.9139500000001</v>
      </c>
      <c r="I511" s="471">
        <v>53.29</v>
      </c>
      <c r="J511" s="471"/>
    </row>
    <row r="512" spans="1:10" ht="102" hidden="1" outlineLevel="4">
      <c r="A512" s="472" t="s">
        <v>1219</v>
      </c>
      <c r="B512" s="473" t="s">
        <v>1220</v>
      </c>
      <c r="C512" s="474" t="s">
        <v>1058</v>
      </c>
      <c r="D512" s="473" t="s">
        <v>1059</v>
      </c>
      <c r="E512" s="475">
        <v>3362.5</v>
      </c>
      <c r="F512" s="475">
        <v>3362.5</v>
      </c>
      <c r="G512" s="475">
        <v>1874.6410000000001</v>
      </c>
      <c r="H512" s="475">
        <v>1791.9139500000001</v>
      </c>
      <c r="I512" s="471">
        <v>53.29</v>
      </c>
      <c r="J512" s="471"/>
    </row>
    <row r="513" spans="1:10" ht="25.5" hidden="1" outlineLevel="3">
      <c r="A513" s="467" t="s">
        <v>1221</v>
      </c>
      <c r="B513" s="468" t="s">
        <v>1222</v>
      </c>
      <c r="C513" s="469"/>
      <c r="D513" s="468"/>
      <c r="E513" s="470">
        <v>995573.5</v>
      </c>
      <c r="F513" s="470">
        <v>995573.5</v>
      </c>
      <c r="G513" s="470">
        <v>531161.47601999994</v>
      </c>
      <c r="H513" s="470">
        <v>524885.20675999997</v>
      </c>
      <c r="I513" s="471">
        <v>52.72</v>
      </c>
      <c r="J513" s="471"/>
    </row>
    <row r="514" spans="1:10" ht="25.5" hidden="1" outlineLevel="4">
      <c r="A514" s="472" t="s">
        <v>1221</v>
      </c>
      <c r="B514" s="473" t="s">
        <v>1222</v>
      </c>
      <c r="C514" s="474" t="s">
        <v>1058</v>
      </c>
      <c r="D514" s="473" t="s">
        <v>1059</v>
      </c>
      <c r="E514" s="475">
        <v>995573.5</v>
      </c>
      <c r="F514" s="475">
        <v>995573.5</v>
      </c>
      <c r="G514" s="475">
        <v>531161.47601999994</v>
      </c>
      <c r="H514" s="475">
        <v>524885.20675999997</v>
      </c>
      <c r="I514" s="471">
        <v>52.72</v>
      </c>
      <c r="J514" s="471"/>
    </row>
    <row r="515" spans="1:10" ht="25.5" hidden="1" outlineLevel="3">
      <c r="A515" s="467" t="s">
        <v>1223</v>
      </c>
      <c r="B515" s="468" t="s">
        <v>1224</v>
      </c>
      <c r="C515" s="469"/>
      <c r="D515" s="468"/>
      <c r="E515" s="470">
        <v>775438.7</v>
      </c>
      <c r="F515" s="470">
        <v>775438.7</v>
      </c>
      <c r="G515" s="470">
        <v>200737.2</v>
      </c>
      <c r="H515" s="470">
        <v>149766.74340000001</v>
      </c>
      <c r="I515" s="471">
        <v>19.309999999999999</v>
      </c>
      <c r="J515" s="471"/>
    </row>
    <row r="516" spans="1:10" ht="25.5" hidden="1" outlineLevel="4">
      <c r="A516" s="472" t="s">
        <v>1223</v>
      </c>
      <c r="B516" s="473" t="s">
        <v>1224</v>
      </c>
      <c r="C516" s="474" t="s">
        <v>1058</v>
      </c>
      <c r="D516" s="473" t="s">
        <v>1059</v>
      </c>
      <c r="E516" s="475">
        <v>775438.7</v>
      </c>
      <c r="F516" s="475">
        <v>775438.7</v>
      </c>
      <c r="G516" s="475">
        <v>200737.2</v>
      </c>
      <c r="H516" s="475">
        <v>149766.74340000001</v>
      </c>
      <c r="I516" s="471">
        <v>19.309999999999999</v>
      </c>
      <c r="J516" s="471"/>
    </row>
    <row r="517" spans="1:10" ht="51" hidden="1" outlineLevel="3">
      <c r="A517" s="467" t="s">
        <v>1225</v>
      </c>
      <c r="B517" s="468" t="s">
        <v>1226</v>
      </c>
      <c r="C517" s="469"/>
      <c r="D517" s="468"/>
      <c r="E517" s="470">
        <v>62725.2</v>
      </c>
      <c r="F517" s="470">
        <v>62725.2</v>
      </c>
      <c r="G517" s="470">
        <v>20200.965769999999</v>
      </c>
      <c r="H517" s="470">
        <v>19718.09115</v>
      </c>
      <c r="I517" s="471">
        <v>31.44</v>
      </c>
      <c r="J517" s="471"/>
    </row>
    <row r="518" spans="1:10" ht="51" hidden="1" outlineLevel="4">
      <c r="A518" s="472" t="s">
        <v>1225</v>
      </c>
      <c r="B518" s="473" t="s">
        <v>1226</v>
      </c>
      <c r="C518" s="474" t="s">
        <v>1058</v>
      </c>
      <c r="D518" s="473" t="s">
        <v>1059</v>
      </c>
      <c r="E518" s="475">
        <v>62725.2</v>
      </c>
      <c r="F518" s="475">
        <v>62725.2</v>
      </c>
      <c r="G518" s="475">
        <v>20200.965769999999</v>
      </c>
      <c r="H518" s="475">
        <v>19718.09115</v>
      </c>
      <c r="I518" s="471">
        <v>31.44</v>
      </c>
      <c r="J518" s="471"/>
    </row>
    <row r="519" spans="1:10" ht="76.5" hidden="1" outlineLevel="2">
      <c r="A519" s="462" t="s">
        <v>1227</v>
      </c>
      <c r="B519" s="463" t="s">
        <v>1228</v>
      </c>
      <c r="C519" s="464"/>
      <c r="D519" s="463"/>
      <c r="E519" s="465">
        <v>44890.9</v>
      </c>
      <c r="F519" s="465">
        <v>44890.9</v>
      </c>
      <c r="G519" s="465">
        <v>5833.1073399999996</v>
      </c>
      <c r="H519" s="465">
        <v>5629.973</v>
      </c>
      <c r="I519" s="466">
        <v>12.54</v>
      </c>
      <c r="J519" s="466"/>
    </row>
    <row r="520" spans="1:10" ht="25.5" hidden="1" outlineLevel="3">
      <c r="A520" s="467" t="s">
        <v>1092</v>
      </c>
      <c r="B520" s="468" t="s">
        <v>1229</v>
      </c>
      <c r="C520" s="469"/>
      <c r="D520" s="468"/>
      <c r="E520" s="470">
        <v>44890.9</v>
      </c>
      <c r="F520" s="470">
        <v>44890.9</v>
      </c>
      <c r="G520" s="470">
        <v>5833.1073399999996</v>
      </c>
      <c r="H520" s="470">
        <v>5629.973</v>
      </c>
      <c r="I520" s="471">
        <v>12.54</v>
      </c>
      <c r="J520" s="471"/>
    </row>
    <row r="521" spans="1:10" ht="25.5" hidden="1" outlineLevel="4">
      <c r="A521" s="472" t="s">
        <v>1092</v>
      </c>
      <c r="B521" s="473" t="s">
        <v>1229</v>
      </c>
      <c r="C521" s="474" t="s">
        <v>1058</v>
      </c>
      <c r="D521" s="473" t="s">
        <v>1059</v>
      </c>
      <c r="E521" s="475">
        <v>44890.9</v>
      </c>
      <c r="F521" s="475">
        <v>44890.9</v>
      </c>
      <c r="G521" s="475">
        <v>5833.1073399999996</v>
      </c>
      <c r="H521" s="475">
        <v>5629.973</v>
      </c>
      <c r="I521" s="471">
        <v>12.54</v>
      </c>
      <c r="J521" s="471"/>
    </row>
    <row r="522" spans="1:10" ht="153" hidden="1" outlineLevel="2">
      <c r="A522" s="462" t="s">
        <v>1230</v>
      </c>
      <c r="B522" s="463" t="s">
        <v>1231</v>
      </c>
      <c r="C522" s="464"/>
      <c r="D522" s="463"/>
      <c r="E522" s="465">
        <v>115601</v>
      </c>
      <c r="F522" s="465">
        <v>115601</v>
      </c>
      <c r="G522" s="465">
        <v>24796.492600000001</v>
      </c>
      <c r="H522" s="465">
        <v>16008.21681</v>
      </c>
      <c r="I522" s="466">
        <v>13.85</v>
      </c>
      <c r="J522" s="466"/>
    </row>
    <row r="523" spans="1:10" ht="25.5" hidden="1" outlineLevel="3">
      <c r="A523" s="467" t="s">
        <v>1092</v>
      </c>
      <c r="B523" s="468" t="s">
        <v>1232</v>
      </c>
      <c r="C523" s="469"/>
      <c r="D523" s="468"/>
      <c r="E523" s="470">
        <v>115601</v>
      </c>
      <c r="F523" s="470">
        <v>115601</v>
      </c>
      <c r="G523" s="470">
        <v>24796.492600000001</v>
      </c>
      <c r="H523" s="470">
        <v>16008.21681</v>
      </c>
      <c r="I523" s="471">
        <v>13.85</v>
      </c>
      <c r="J523" s="471"/>
    </row>
    <row r="524" spans="1:10" ht="25.5" hidden="1" outlineLevel="4">
      <c r="A524" s="472" t="s">
        <v>1092</v>
      </c>
      <c r="B524" s="473" t="s">
        <v>1232</v>
      </c>
      <c r="C524" s="474" t="s">
        <v>1058</v>
      </c>
      <c r="D524" s="473" t="s">
        <v>1059</v>
      </c>
      <c r="E524" s="475">
        <v>115601</v>
      </c>
      <c r="F524" s="475">
        <v>115601</v>
      </c>
      <c r="G524" s="475">
        <v>24796.492600000001</v>
      </c>
      <c r="H524" s="475">
        <v>16008.21681</v>
      </c>
      <c r="I524" s="471">
        <v>13.85</v>
      </c>
      <c r="J524" s="471"/>
    </row>
    <row r="525" spans="1:10" ht="38.25" hidden="1" outlineLevel="2">
      <c r="A525" s="462" t="s">
        <v>1233</v>
      </c>
      <c r="B525" s="463" t="s">
        <v>1234</v>
      </c>
      <c r="C525" s="464"/>
      <c r="D525" s="463"/>
      <c r="E525" s="465">
        <v>160234.53917999999</v>
      </c>
      <c r="F525" s="465">
        <v>160234.53917999999</v>
      </c>
      <c r="G525" s="465">
        <v>64881.830260000002</v>
      </c>
      <c r="H525" s="465">
        <v>64881.830260000002</v>
      </c>
      <c r="I525" s="466">
        <v>40.49</v>
      </c>
      <c r="J525" s="466"/>
    </row>
    <row r="526" spans="1:10" ht="51" hidden="1" outlineLevel="3">
      <c r="A526" s="467" t="s">
        <v>1235</v>
      </c>
      <c r="B526" s="468" t="s">
        <v>1236</v>
      </c>
      <c r="C526" s="469"/>
      <c r="D526" s="468"/>
      <c r="E526" s="470">
        <v>153519.93012999999</v>
      </c>
      <c r="F526" s="470">
        <v>153519.93012999999</v>
      </c>
      <c r="G526" s="470">
        <v>59768.483260000001</v>
      </c>
      <c r="H526" s="470">
        <v>59768.483260000001</v>
      </c>
      <c r="I526" s="471">
        <v>38.93</v>
      </c>
      <c r="J526" s="471"/>
    </row>
    <row r="527" spans="1:10" ht="51" hidden="1" outlineLevel="4">
      <c r="A527" s="472" t="s">
        <v>1235</v>
      </c>
      <c r="B527" s="473" t="s">
        <v>1236</v>
      </c>
      <c r="C527" s="474" t="s">
        <v>719</v>
      </c>
      <c r="D527" s="473" t="s">
        <v>720</v>
      </c>
      <c r="E527" s="475">
        <v>153519.93012999999</v>
      </c>
      <c r="F527" s="475">
        <v>153519.93012999999</v>
      </c>
      <c r="G527" s="475">
        <v>59768.483260000001</v>
      </c>
      <c r="H527" s="475">
        <v>59768.483260000001</v>
      </c>
      <c r="I527" s="471">
        <v>38.93</v>
      </c>
      <c r="J527" s="471"/>
    </row>
    <row r="528" spans="1:10" ht="38.25" hidden="1" outlineLevel="3">
      <c r="A528" s="467" t="s">
        <v>1237</v>
      </c>
      <c r="B528" s="468" t="s">
        <v>1238</v>
      </c>
      <c r="C528" s="469"/>
      <c r="D528" s="468"/>
      <c r="E528" s="470">
        <v>3909.94589</v>
      </c>
      <c r="F528" s="470">
        <v>3909.94589</v>
      </c>
      <c r="G528" s="470">
        <v>3905.192</v>
      </c>
      <c r="H528" s="470">
        <v>3905.192</v>
      </c>
      <c r="I528" s="471">
        <v>99.88</v>
      </c>
      <c r="J528" s="471"/>
    </row>
    <row r="529" spans="1:10" ht="38.25" hidden="1" outlineLevel="4">
      <c r="A529" s="472" t="s">
        <v>1237</v>
      </c>
      <c r="B529" s="473" t="s">
        <v>1238</v>
      </c>
      <c r="C529" s="474" t="s">
        <v>719</v>
      </c>
      <c r="D529" s="473" t="s">
        <v>720</v>
      </c>
      <c r="E529" s="475">
        <v>3909.94589</v>
      </c>
      <c r="F529" s="475">
        <v>3909.94589</v>
      </c>
      <c r="G529" s="475">
        <v>3905.192</v>
      </c>
      <c r="H529" s="475">
        <v>3905.192</v>
      </c>
      <c r="I529" s="471">
        <v>99.88</v>
      </c>
      <c r="J529" s="471"/>
    </row>
    <row r="530" spans="1:10" ht="25.5" hidden="1" outlineLevel="3">
      <c r="A530" s="467" t="s">
        <v>1239</v>
      </c>
      <c r="B530" s="468" t="s">
        <v>1240</v>
      </c>
      <c r="C530" s="469"/>
      <c r="D530" s="468"/>
      <c r="E530" s="470">
        <v>2804.6631600000001</v>
      </c>
      <c r="F530" s="470">
        <v>2804.6631600000001</v>
      </c>
      <c r="G530" s="470">
        <v>1208.155</v>
      </c>
      <c r="H530" s="470">
        <v>1208.155</v>
      </c>
      <c r="I530" s="471">
        <v>43.08</v>
      </c>
      <c r="J530" s="471"/>
    </row>
    <row r="531" spans="1:10" ht="25.5" hidden="1" outlineLevel="4">
      <c r="A531" s="472" t="s">
        <v>1239</v>
      </c>
      <c r="B531" s="473" t="s">
        <v>1240</v>
      </c>
      <c r="C531" s="474" t="s">
        <v>719</v>
      </c>
      <c r="D531" s="473" t="s">
        <v>720</v>
      </c>
      <c r="E531" s="475">
        <v>2804.6631600000001</v>
      </c>
      <c r="F531" s="475">
        <v>2804.6631600000001</v>
      </c>
      <c r="G531" s="475">
        <v>1208.155</v>
      </c>
      <c r="H531" s="475">
        <v>1208.155</v>
      </c>
      <c r="I531" s="471">
        <v>43.08</v>
      </c>
      <c r="J531" s="471"/>
    </row>
    <row r="532" spans="1:10" ht="25.5" hidden="1" outlineLevel="2">
      <c r="A532" s="462" t="s">
        <v>1241</v>
      </c>
      <c r="B532" s="463" t="s">
        <v>1242</v>
      </c>
      <c r="C532" s="464"/>
      <c r="D532" s="463"/>
      <c r="E532" s="465">
        <v>2367406.4</v>
      </c>
      <c r="F532" s="465">
        <v>2367406.4</v>
      </c>
      <c r="G532" s="465">
        <v>680163.19360999996</v>
      </c>
      <c r="H532" s="465">
        <v>676338.54911999998</v>
      </c>
      <c r="I532" s="466">
        <v>28.57</v>
      </c>
      <c r="J532" s="466"/>
    </row>
    <row r="533" spans="1:10" ht="51" hidden="1" outlineLevel="3">
      <c r="A533" s="467" t="s">
        <v>1243</v>
      </c>
      <c r="B533" s="468" t="s">
        <v>1244</v>
      </c>
      <c r="C533" s="469"/>
      <c r="D533" s="468"/>
      <c r="E533" s="470">
        <v>693322.8</v>
      </c>
      <c r="F533" s="470">
        <v>693322.8</v>
      </c>
      <c r="G533" s="470">
        <v>383507.48053</v>
      </c>
      <c r="H533" s="470">
        <v>380856.64934</v>
      </c>
      <c r="I533" s="471">
        <v>54.93</v>
      </c>
      <c r="J533" s="471"/>
    </row>
    <row r="534" spans="1:10" ht="51" hidden="1" outlineLevel="4">
      <c r="A534" s="472" t="s">
        <v>1243</v>
      </c>
      <c r="B534" s="473" t="s">
        <v>1244</v>
      </c>
      <c r="C534" s="474" t="s">
        <v>1058</v>
      </c>
      <c r="D534" s="473" t="s">
        <v>1059</v>
      </c>
      <c r="E534" s="475">
        <v>693322.8</v>
      </c>
      <c r="F534" s="475">
        <v>693322.8</v>
      </c>
      <c r="G534" s="475">
        <v>383507.48053</v>
      </c>
      <c r="H534" s="475">
        <v>380856.64934</v>
      </c>
      <c r="I534" s="471">
        <v>54.93</v>
      </c>
      <c r="J534" s="476" t="s">
        <v>10</v>
      </c>
    </row>
    <row r="535" spans="1:10" ht="51" hidden="1" outlineLevel="3">
      <c r="A535" s="467" t="s">
        <v>1245</v>
      </c>
      <c r="B535" s="468" t="s">
        <v>1246</v>
      </c>
      <c r="C535" s="469"/>
      <c r="D535" s="468"/>
      <c r="E535" s="470">
        <v>1527023.1</v>
      </c>
      <c r="F535" s="470">
        <v>1527023.1</v>
      </c>
      <c r="G535" s="470">
        <v>296655.71308000002</v>
      </c>
      <c r="H535" s="470">
        <v>295481.89977999998</v>
      </c>
      <c r="I535" s="471">
        <v>19.350000000000001</v>
      </c>
      <c r="J535" s="471"/>
    </row>
    <row r="536" spans="1:10" ht="51" hidden="1" outlineLevel="4">
      <c r="A536" s="472" t="s">
        <v>1245</v>
      </c>
      <c r="B536" s="473" t="s">
        <v>1246</v>
      </c>
      <c r="C536" s="474" t="s">
        <v>1058</v>
      </c>
      <c r="D536" s="473" t="s">
        <v>1059</v>
      </c>
      <c r="E536" s="475">
        <v>1527023.1</v>
      </c>
      <c r="F536" s="475">
        <v>1527023.1</v>
      </c>
      <c r="G536" s="475">
        <v>296655.71308000002</v>
      </c>
      <c r="H536" s="475">
        <v>295481.89977999998</v>
      </c>
      <c r="I536" s="471">
        <v>19.350000000000001</v>
      </c>
      <c r="J536" s="476" t="s">
        <v>10</v>
      </c>
    </row>
    <row r="537" spans="1:10" ht="51" hidden="1" outlineLevel="3">
      <c r="A537" s="467" t="s">
        <v>1243</v>
      </c>
      <c r="B537" s="468" t="s">
        <v>1247</v>
      </c>
      <c r="C537" s="469"/>
      <c r="D537" s="468"/>
      <c r="E537" s="470">
        <v>147060.5</v>
      </c>
      <c r="F537" s="470">
        <v>147060.5</v>
      </c>
      <c r="G537" s="470">
        <v>0</v>
      </c>
      <c r="H537" s="470">
        <v>0</v>
      </c>
      <c r="I537" s="471">
        <v>0</v>
      </c>
      <c r="J537" s="471"/>
    </row>
    <row r="538" spans="1:10" ht="51" hidden="1" outlineLevel="4">
      <c r="A538" s="472" t="s">
        <v>1243</v>
      </c>
      <c r="B538" s="473" t="s">
        <v>1247</v>
      </c>
      <c r="C538" s="474" t="s">
        <v>1058</v>
      </c>
      <c r="D538" s="473" t="s">
        <v>1059</v>
      </c>
      <c r="E538" s="475">
        <v>147060.5</v>
      </c>
      <c r="F538" s="475">
        <v>147060.5</v>
      </c>
      <c r="G538" s="475">
        <v>0</v>
      </c>
      <c r="H538" s="475">
        <v>0</v>
      </c>
      <c r="I538" s="471">
        <v>0</v>
      </c>
      <c r="J538" s="471"/>
    </row>
    <row r="539" spans="1:10" ht="25.5" hidden="1" outlineLevel="2">
      <c r="A539" s="462" t="s">
        <v>1248</v>
      </c>
      <c r="B539" s="463" t="s">
        <v>1249</v>
      </c>
      <c r="C539" s="464"/>
      <c r="D539" s="463"/>
      <c r="E539" s="465">
        <v>146</v>
      </c>
      <c r="F539" s="465">
        <v>146</v>
      </c>
      <c r="G539" s="465">
        <v>122.0938</v>
      </c>
      <c r="H539" s="465">
        <v>122.0938</v>
      </c>
      <c r="I539" s="466">
        <v>83.63</v>
      </c>
      <c r="J539" s="466"/>
    </row>
    <row r="540" spans="1:10" ht="63.75" hidden="1" outlineLevel="3">
      <c r="A540" s="467" t="s">
        <v>1250</v>
      </c>
      <c r="B540" s="468" t="s">
        <v>1251</v>
      </c>
      <c r="C540" s="469"/>
      <c r="D540" s="468"/>
      <c r="E540" s="470">
        <v>146</v>
      </c>
      <c r="F540" s="470">
        <v>146</v>
      </c>
      <c r="G540" s="470">
        <v>122.0938</v>
      </c>
      <c r="H540" s="470">
        <v>122.0938</v>
      </c>
      <c r="I540" s="471">
        <v>83.63</v>
      </c>
      <c r="J540" s="471"/>
    </row>
    <row r="541" spans="1:10" ht="63.75" hidden="1" outlineLevel="4">
      <c r="A541" s="472" t="s">
        <v>1250</v>
      </c>
      <c r="B541" s="473" t="s">
        <v>1251</v>
      </c>
      <c r="C541" s="474" t="s">
        <v>719</v>
      </c>
      <c r="D541" s="473" t="s">
        <v>720</v>
      </c>
      <c r="E541" s="475">
        <v>146</v>
      </c>
      <c r="F541" s="475">
        <v>146</v>
      </c>
      <c r="G541" s="475">
        <v>122.0938</v>
      </c>
      <c r="H541" s="475">
        <v>122.0938</v>
      </c>
      <c r="I541" s="471">
        <v>83.63</v>
      </c>
      <c r="J541" s="476" t="s">
        <v>10</v>
      </c>
    </row>
    <row r="542" spans="1:10" ht="51" hidden="1" outlineLevel="1">
      <c r="A542" s="457" t="s">
        <v>1252</v>
      </c>
      <c r="B542" s="458" t="s">
        <v>1253</v>
      </c>
      <c r="C542" s="459"/>
      <c r="D542" s="458"/>
      <c r="E542" s="460">
        <v>1395002.96346</v>
      </c>
      <c r="F542" s="460">
        <v>1395002.96346</v>
      </c>
      <c r="G542" s="460">
        <v>636054.84745</v>
      </c>
      <c r="H542" s="460">
        <v>593695.46534999995</v>
      </c>
      <c r="I542" s="461">
        <v>42.56</v>
      </c>
      <c r="J542" s="461"/>
    </row>
    <row r="543" spans="1:10" ht="63.75" hidden="1" outlineLevel="2">
      <c r="A543" s="462" t="s">
        <v>1254</v>
      </c>
      <c r="B543" s="463" t="s">
        <v>1255</v>
      </c>
      <c r="C543" s="464"/>
      <c r="D543" s="463"/>
      <c r="E543" s="465">
        <v>864367.86711999995</v>
      </c>
      <c r="F543" s="465">
        <v>864367.86711999995</v>
      </c>
      <c r="G543" s="465">
        <v>447083.65581999999</v>
      </c>
      <c r="H543" s="465">
        <v>412086.17706999998</v>
      </c>
      <c r="I543" s="466">
        <v>47.67</v>
      </c>
      <c r="J543" s="466"/>
    </row>
    <row r="544" spans="1:10" ht="76.5" hidden="1" outlineLevel="3">
      <c r="A544" s="467" t="s">
        <v>717</v>
      </c>
      <c r="B544" s="468" t="s">
        <v>1256</v>
      </c>
      <c r="C544" s="469"/>
      <c r="D544" s="468"/>
      <c r="E544" s="470">
        <v>183.10499999999999</v>
      </c>
      <c r="F544" s="470">
        <v>183.10499999999999</v>
      </c>
      <c r="G544" s="470">
        <v>0</v>
      </c>
      <c r="H544" s="470">
        <v>0</v>
      </c>
      <c r="I544" s="471">
        <v>0</v>
      </c>
      <c r="J544" s="471"/>
    </row>
    <row r="545" spans="1:10" ht="76.5" hidden="1" outlineLevel="4">
      <c r="A545" s="472" t="s">
        <v>717</v>
      </c>
      <c r="B545" s="473" t="s">
        <v>1256</v>
      </c>
      <c r="C545" s="474" t="s">
        <v>726</v>
      </c>
      <c r="D545" s="473" t="s">
        <v>727</v>
      </c>
      <c r="E545" s="475">
        <v>183.10499999999999</v>
      </c>
      <c r="F545" s="475">
        <v>183.10499999999999</v>
      </c>
      <c r="G545" s="475">
        <v>0</v>
      </c>
      <c r="H545" s="475">
        <v>0</v>
      </c>
      <c r="I545" s="471">
        <v>0</v>
      </c>
      <c r="J545" s="471"/>
    </row>
    <row r="546" spans="1:10" ht="51" hidden="1" outlineLevel="3">
      <c r="A546" s="467" t="s">
        <v>1257</v>
      </c>
      <c r="B546" s="468" t="s">
        <v>1258</v>
      </c>
      <c r="C546" s="469"/>
      <c r="D546" s="468"/>
      <c r="E546" s="470">
        <v>4841.2420000000002</v>
      </c>
      <c r="F546" s="470">
        <v>4841.2420000000002</v>
      </c>
      <c r="G546" s="470">
        <v>605.15520000000004</v>
      </c>
      <c r="H546" s="470">
        <v>605.15520000000004</v>
      </c>
      <c r="I546" s="471">
        <v>12.5</v>
      </c>
      <c r="J546" s="471"/>
    </row>
    <row r="547" spans="1:10" ht="51" hidden="1" outlineLevel="4">
      <c r="A547" s="472" t="s">
        <v>1257</v>
      </c>
      <c r="B547" s="473" t="s">
        <v>1258</v>
      </c>
      <c r="C547" s="474" t="s">
        <v>726</v>
      </c>
      <c r="D547" s="473" t="s">
        <v>727</v>
      </c>
      <c r="E547" s="475">
        <v>4841.2420000000002</v>
      </c>
      <c r="F547" s="475">
        <v>4841.2420000000002</v>
      </c>
      <c r="G547" s="475">
        <v>605.15520000000004</v>
      </c>
      <c r="H547" s="475">
        <v>605.15520000000004</v>
      </c>
      <c r="I547" s="471">
        <v>12.5</v>
      </c>
      <c r="J547" s="471"/>
    </row>
    <row r="548" spans="1:10" ht="25.5" hidden="1" outlineLevel="3">
      <c r="A548" s="467" t="s">
        <v>728</v>
      </c>
      <c r="B548" s="468" t="s">
        <v>1259</v>
      </c>
      <c r="C548" s="469"/>
      <c r="D548" s="468"/>
      <c r="E548" s="470">
        <v>378.8</v>
      </c>
      <c r="F548" s="470">
        <v>378.8</v>
      </c>
      <c r="G548" s="470">
        <v>0</v>
      </c>
      <c r="H548" s="470">
        <v>0</v>
      </c>
      <c r="I548" s="471">
        <v>0</v>
      </c>
      <c r="J548" s="471"/>
    </row>
    <row r="549" spans="1:10" ht="25.5" hidden="1" outlineLevel="4">
      <c r="A549" s="472" t="s">
        <v>728</v>
      </c>
      <c r="B549" s="473" t="s">
        <v>1259</v>
      </c>
      <c r="C549" s="474" t="s">
        <v>726</v>
      </c>
      <c r="D549" s="473" t="s">
        <v>727</v>
      </c>
      <c r="E549" s="475">
        <v>378.8</v>
      </c>
      <c r="F549" s="475">
        <v>378.8</v>
      </c>
      <c r="G549" s="475">
        <v>0</v>
      </c>
      <c r="H549" s="475">
        <v>0</v>
      </c>
      <c r="I549" s="471">
        <v>0</v>
      </c>
      <c r="J549" s="471"/>
    </row>
    <row r="550" spans="1:10" ht="38.25" hidden="1" outlineLevel="3">
      <c r="A550" s="467" t="s">
        <v>1260</v>
      </c>
      <c r="B550" s="468" t="s">
        <v>1261</v>
      </c>
      <c r="C550" s="469"/>
      <c r="D550" s="468"/>
      <c r="E550" s="470">
        <v>10909.5</v>
      </c>
      <c r="F550" s="470">
        <v>10909.5</v>
      </c>
      <c r="G550" s="470">
        <v>3488.4504000000002</v>
      </c>
      <c r="H550" s="470">
        <v>3488.4504000000002</v>
      </c>
      <c r="I550" s="471">
        <v>31.98</v>
      </c>
      <c r="J550" s="471"/>
    </row>
    <row r="551" spans="1:10" ht="38.25" hidden="1" outlineLevel="4">
      <c r="A551" s="472" t="s">
        <v>1260</v>
      </c>
      <c r="B551" s="473" t="s">
        <v>1261</v>
      </c>
      <c r="C551" s="474" t="s">
        <v>726</v>
      </c>
      <c r="D551" s="473" t="s">
        <v>727</v>
      </c>
      <c r="E551" s="475">
        <v>10909.5</v>
      </c>
      <c r="F551" s="475">
        <v>10909.5</v>
      </c>
      <c r="G551" s="475">
        <v>3488.4504000000002</v>
      </c>
      <c r="H551" s="475">
        <v>3488.4504000000002</v>
      </c>
      <c r="I551" s="471">
        <v>31.98</v>
      </c>
      <c r="J551" s="476" t="s">
        <v>10</v>
      </c>
    </row>
    <row r="552" spans="1:10" ht="51" hidden="1" outlineLevel="3">
      <c r="A552" s="467" t="s">
        <v>1262</v>
      </c>
      <c r="B552" s="468" t="s">
        <v>1263</v>
      </c>
      <c r="C552" s="469"/>
      <c r="D552" s="468"/>
      <c r="E552" s="470">
        <v>770524.22011999995</v>
      </c>
      <c r="F552" s="470">
        <v>770524.22011999995</v>
      </c>
      <c r="G552" s="470">
        <v>402404.13731000002</v>
      </c>
      <c r="H552" s="470">
        <v>374787.05369999999</v>
      </c>
      <c r="I552" s="471">
        <v>48.64</v>
      </c>
      <c r="J552" s="471"/>
    </row>
    <row r="553" spans="1:10" ht="51" hidden="1" outlineLevel="4">
      <c r="A553" s="472" t="s">
        <v>1262</v>
      </c>
      <c r="B553" s="473" t="s">
        <v>1263</v>
      </c>
      <c r="C553" s="474" t="s">
        <v>726</v>
      </c>
      <c r="D553" s="473" t="s">
        <v>727</v>
      </c>
      <c r="E553" s="475">
        <v>770524.22011999995</v>
      </c>
      <c r="F553" s="475">
        <v>770524.22011999995</v>
      </c>
      <c r="G553" s="475">
        <v>402404.13731000002</v>
      </c>
      <c r="H553" s="475">
        <v>374787.05369999999</v>
      </c>
      <c r="I553" s="471">
        <v>48.64</v>
      </c>
      <c r="J553" s="471"/>
    </row>
    <row r="554" spans="1:10" ht="102" hidden="1" outlineLevel="3">
      <c r="A554" s="467" t="s">
        <v>1264</v>
      </c>
      <c r="B554" s="468" t="s">
        <v>1265</v>
      </c>
      <c r="C554" s="469"/>
      <c r="D554" s="468"/>
      <c r="E554" s="470">
        <v>77531</v>
      </c>
      <c r="F554" s="470">
        <v>77531</v>
      </c>
      <c r="G554" s="470">
        <v>40585.912909999999</v>
      </c>
      <c r="H554" s="470">
        <v>33205.517769999999</v>
      </c>
      <c r="I554" s="471">
        <v>42.83</v>
      </c>
      <c r="J554" s="471"/>
    </row>
    <row r="555" spans="1:10" ht="102" hidden="1" outlineLevel="4">
      <c r="A555" s="472" t="s">
        <v>1264</v>
      </c>
      <c r="B555" s="473" t="s">
        <v>1265</v>
      </c>
      <c r="C555" s="474" t="s">
        <v>726</v>
      </c>
      <c r="D555" s="473" t="s">
        <v>727</v>
      </c>
      <c r="E555" s="475">
        <v>77531</v>
      </c>
      <c r="F555" s="475">
        <v>77531</v>
      </c>
      <c r="G555" s="475">
        <v>40585.912909999999</v>
      </c>
      <c r="H555" s="475">
        <v>33205.517769999999</v>
      </c>
      <c r="I555" s="471">
        <v>42.83</v>
      </c>
      <c r="J555" s="471"/>
    </row>
    <row r="556" spans="1:10" ht="76.5" hidden="1" outlineLevel="2">
      <c r="A556" s="462" t="s">
        <v>1266</v>
      </c>
      <c r="B556" s="463" t="s">
        <v>1267</v>
      </c>
      <c r="C556" s="464"/>
      <c r="D556" s="463"/>
      <c r="E556" s="465">
        <v>268471.69634000002</v>
      </c>
      <c r="F556" s="465">
        <v>268471.69634000002</v>
      </c>
      <c r="G556" s="465">
        <v>123980.93889</v>
      </c>
      <c r="H556" s="465">
        <v>123235.0429</v>
      </c>
      <c r="I556" s="466">
        <v>45.9</v>
      </c>
      <c r="J556" s="466"/>
    </row>
    <row r="557" spans="1:10" ht="76.5" hidden="1" outlineLevel="3">
      <c r="A557" s="467" t="s">
        <v>717</v>
      </c>
      <c r="B557" s="468" t="s">
        <v>1268</v>
      </c>
      <c r="C557" s="469"/>
      <c r="D557" s="468"/>
      <c r="E557" s="470">
        <v>255816.25028000001</v>
      </c>
      <c r="F557" s="470">
        <v>255816.25028000001</v>
      </c>
      <c r="G557" s="470">
        <v>118319.45634999999</v>
      </c>
      <c r="H557" s="470">
        <v>118319.45634999999</v>
      </c>
      <c r="I557" s="471">
        <v>46.25</v>
      </c>
      <c r="J557" s="471"/>
    </row>
    <row r="558" spans="1:10" ht="76.5" hidden="1" outlineLevel="4">
      <c r="A558" s="472" t="s">
        <v>717</v>
      </c>
      <c r="B558" s="473" t="s">
        <v>1268</v>
      </c>
      <c r="C558" s="474" t="s">
        <v>911</v>
      </c>
      <c r="D558" s="473" t="s">
        <v>912</v>
      </c>
      <c r="E558" s="475">
        <v>1245</v>
      </c>
      <c r="F558" s="475">
        <v>1245</v>
      </c>
      <c r="G558" s="475">
        <v>480.1</v>
      </c>
      <c r="H558" s="475">
        <v>480.1</v>
      </c>
      <c r="I558" s="471">
        <v>38.56</v>
      </c>
      <c r="J558" s="471"/>
    </row>
    <row r="559" spans="1:10" ht="76.5" hidden="1" outlineLevel="4">
      <c r="A559" s="472" t="s">
        <v>717</v>
      </c>
      <c r="B559" s="473" t="s">
        <v>1268</v>
      </c>
      <c r="C559" s="474" t="s">
        <v>726</v>
      </c>
      <c r="D559" s="473" t="s">
        <v>727</v>
      </c>
      <c r="E559" s="475">
        <v>254571.25028000001</v>
      </c>
      <c r="F559" s="475">
        <v>254571.25028000001</v>
      </c>
      <c r="G559" s="475">
        <v>117839.35635</v>
      </c>
      <c r="H559" s="475">
        <v>117839.35635</v>
      </c>
      <c r="I559" s="471">
        <v>46.29</v>
      </c>
      <c r="J559" s="471"/>
    </row>
    <row r="560" spans="1:10" ht="140.25" hidden="1" outlineLevel="3">
      <c r="A560" s="467" t="s">
        <v>857</v>
      </c>
      <c r="B560" s="468" t="s">
        <v>1269</v>
      </c>
      <c r="C560" s="469"/>
      <c r="D560" s="468"/>
      <c r="E560" s="470">
        <v>1130.9620600000001</v>
      </c>
      <c r="F560" s="470">
        <v>1130.9620600000001</v>
      </c>
      <c r="G560" s="470">
        <v>280.96785999999997</v>
      </c>
      <c r="H560" s="470">
        <v>280.96785999999997</v>
      </c>
      <c r="I560" s="471">
        <v>24.84</v>
      </c>
      <c r="J560" s="471"/>
    </row>
    <row r="561" spans="1:10" ht="140.25" hidden="1" outlineLevel="4">
      <c r="A561" s="472" t="s">
        <v>857</v>
      </c>
      <c r="B561" s="473" t="s">
        <v>1269</v>
      </c>
      <c r="C561" s="474" t="s">
        <v>726</v>
      </c>
      <c r="D561" s="473" t="s">
        <v>727</v>
      </c>
      <c r="E561" s="475">
        <v>1130.9620600000001</v>
      </c>
      <c r="F561" s="475">
        <v>1130.9620600000001</v>
      </c>
      <c r="G561" s="475">
        <v>280.96785999999997</v>
      </c>
      <c r="H561" s="475">
        <v>280.96785999999997</v>
      </c>
      <c r="I561" s="471">
        <v>24.84</v>
      </c>
      <c r="J561" s="471"/>
    </row>
    <row r="562" spans="1:10" ht="153" hidden="1" outlineLevel="3">
      <c r="A562" s="467" t="s">
        <v>1270</v>
      </c>
      <c r="B562" s="468" t="s">
        <v>1271</v>
      </c>
      <c r="C562" s="469"/>
      <c r="D562" s="468"/>
      <c r="E562" s="470">
        <v>238.584</v>
      </c>
      <c r="F562" s="470">
        <v>238.584</v>
      </c>
      <c r="G562" s="470">
        <v>0</v>
      </c>
      <c r="H562" s="470">
        <v>0</v>
      </c>
      <c r="I562" s="471">
        <v>0</v>
      </c>
      <c r="J562" s="471"/>
    </row>
    <row r="563" spans="1:10" ht="153" hidden="1" outlineLevel="4">
      <c r="A563" s="472" t="s">
        <v>1270</v>
      </c>
      <c r="B563" s="473" t="s">
        <v>1271</v>
      </c>
      <c r="C563" s="474" t="s">
        <v>726</v>
      </c>
      <c r="D563" s="473" t="s">
        <v>727</v>
      </c>
      <c r="E563" s="475">
        <v>238.584</v>
      </c>
      <c r="F563" s="475">
        <v>238.584</v>
      </c>
      <c r="G563" s="475">
        <v>0</v>
      </c>
      <c r="H563" s="475">
        <v>0</v>
      </c>
      <c r="I563" s="471">
        <v>0</v>
      </c>
      <c r="J563" s="471"/>
    </row>
    <row r="564" spans="1:10" ht="89.25" hidden="1" outlineLevel="3">
      <c r="A564" s="467" t="s">
        <v>1272</v>
      </c>
      <c r="B564" s="468" t="s">
        <v>1273</v>
      </c>
      <c r="C564" s="469"/>
      <c r="D564" s="468"/>
      <c r="E564" s="470">
        <v>11285.9</v>
      </c>
      <c r="F564" s="470">
        <v>11285.9</v>
      </c>
      <c r="G564" s="470">
        <v>5380.5146800000002</v>
      </c>
      <c r="H564" s="470">
        <v>4634.6186900000002</v>
      </c>
      <c r="I564" s="471">
        <v>41.07</v>
      </c>
      <c r="J564" s="471"/>
    </row>
    <row r="565" spans="1:10" ht="89.25" hidden="1" outlineLevel="4">
      <c r="A565" s="472" t="s">
        <v>1272</v>
      </c>
      <c r="B565" s="473" t="s">
        <v>1273</v>
      </c>
      <c r="C565" s="474" t="s">
        <v>726</v>
      </c>
      <c r="D565" s="473" t="s">
        <v>727</v>
      </c>
      <c r="E565" s="475">
        <v>11285.9</v>
      </c>
      <c r="F565" s="475">
        <v>11285.9</v>
      </c>
      <c r="G565" s="475">
        <v>5380.5146800000002</v>
      </c>
      <c r="H565" s="475">
        <v>4634.6186900000002</v>
      </c>
      <c r="I565" s="471">
        <v>41.07</v>
      </c>
      <c r="J565" s="471"/>
    </row>
    <row r="566" spans="1:10" ht="178.5" hidden="1" outlineLevel="2">
      <c r="A566" s="462" t="s">
        <v>1274</v>
      </c>
      <c r="B566" s="463" t="s">
        <v>1275</v>
      </c>
      <c r="C566" s="464"/>
      <c r="D566" s="463"/>
      <c r="E566" s="465">
        <v>210333.1</v>
      </c>
      <c r="F566" s="465">
        <v>210333.1</v>
      </c>
      <c r="G566" s="465">
        <v>40090</v>
      </c>
      <c r="H566" s="465">
        <v>35626.724580000002</v>
      </c>
      <c r="I566" s="466">
        <v>16.940000000000001</v>
      </c>
      <c r="J566" s="466"/>
    </row>
    <row r="567" spans="1:10" ht="63.75" hidden="1" outlineLevel="3">
      <c r="A567" s="467" t="s">
        <v>1276</v>
      </c>
      <c r="B567" s="468" t="s">
        <v>1277</v>
      </c>
      <c r="C567" s="469"/>
      <c r="D567" s="468"/>
      <c r="E567" s="470">
        <v>204550.2831</v>
      </c>
      <c r="F567" s="470">
        <v>204550.2831</v>
      </c>
      <c r="G567" s="470">
        <v>34307.183100000002</v>
      </c>
      <c r="H567" s="470">
        <v>29843.90768</v>
      </c>
      <c r="I567" s="471">
        <v>14.59</v>
      </c>
      <c r="J567" s="471"/>
    </row>
    <row r="568" spans="1:10" ht="63.75" hidden="1" outlineLevel="4">
      <c r="A568" s="472" t="s">
        <v>1276</v>
      </c>
      <c r="B568" s="473" t="s">
        <v>1277</v>
      </c>
      <c r="C568" s="474" t="s">
        <v>726</v>
      </c>
      <c r="D568" s="473" t="s">
        <v>727</v>
      </c>
      <c r="E568" s="475">
        <v>204550.2831</v>
      </c>
      <c r="F568" s="475">
        <v>204550.2831</v>
      </c>
      <c r="G568" s="475">
        <v>34307.183100000002</v>
      </c>
      <c r="H568" s="475">
        <v>29843.90768</v>
      </c>
      <c r="I568" s="471">
        <v>14.59</v>
      </c>
      <c r="J568" s="471"/>
    </row>
    <row r="569" spans="1:10" ht="63.75" hidden="1" outlineLevel="3">
      <c r="A569" s="467" t="s">
        <v>1278</v>
      </c>
      <c r="B569" s="468" t="s">
        <v>1279</v>
      </c>
      <c r="C569" s="469"/>
      <c r="D569" s="468"/>
      <c r="E569" s="470">
        <v>5782.8168999999998</v>
      </c>
      <c r="F569" s="470">
        <v>5782.8168999999998</v>
      </c>
      <c r="G569" s="470">
        <v>5782.8168999999998</v>
      </c>
      <c r="H569" s="470">
        <v>5782.8168999999998</v>
      </c>
      <c r="I569" s="471">
        <v>100</v>
      </c>
      <c r="J569" s="471"/>
    </row>
    <row r="570" spans="1:10" ht="63.75" hidden="1" outlineLevel="4">
      <c r="A570" s="472" t="s">
        <v>1278</v>
      </c>
      <c r="B570" s="473" t="s">
        <v>1279</v>
      </c>
      <c r="C570" s="474" t="s">
        <v>726</v>
      </c>
      <c r="D570" s="473" t="s">
        <v>727</v>
      </c>
      <c r="E570" s="475">
        <v>5782.8168999999998</v>
      </c>
      <c r="F570" s="475">
        <v>5782.8168999999998</v>
      </c>
      <c r="G570" s="475">
        <v>5782.8168999999998</v>
      </c>
      <c r="H570" s="475">
        <v>5782.8168999999998</v>
      </c>
      <c r="I570" s="471">
        <v>100</v>
      </c>
      <c r="J570" s="471"/>
    </row>
    <row r="571" spans="1:10" ht="76.5" hidden="1" outlineLevel="2">
      <c r="A571" s="462" t="s">
        <v>1280</v>
      </c>
      <c r="B571" s="463" t="s">
        <v>1281</v>
      </c>
      <c r="C571" s="464"/>
      <c r="D571" s="463"/>
      <c r="E571" s="465">
        <v>51830.3</v>
      </c>
      <c r="F571" s="465">
        <v>51830.3</v>
      </c>
      <c r="G571" s="465">
        <v>24900.25274</v>
      </c>
      <c r="H571" s="465">
        <v>22747.520799999998</v>
      </c>
      <c r="I571" s="466">
        <v>43.89</v>
      </c>
      <c r="J571" s="466"/>
    </row>
    <row r="572" spans="1:10" ht="89.25" hidden="1" outlineLevel="3">
      <c r="A572" s="467" t="s">
        <v>1282</v>
      </c>
      <c r="B572" s="468" t="s">
        <v>1283</v>
      </c>
      <c r="C572" s="469"/>
      <c r="D572" s="468"/>
      <c r="E572" s="470">
        <v>45891.5</v>
      </c>
      <c r="F572" s="470">
        <v>45891.5</v>
      </c>
      <c r="G572" s="470">
        <v>21042.743770000001</v>
      </c>
      <c r="H572" s="470">
        <v>19655.095010000001</v>
      </c>
      <c r="I572" s="471">
        <v>42.83</v>
      </c>
      <c r="J572" s="471"/>
    </row>
    <row r="573" spans="1:10" ht="89.25" hidden="1" outlineLevel="4">
      <c r="A573" s="472" t="s">
        <v>1282</v>
      </c>
      <c r="B573" s="473" t="s">
        <v>1283</v>
      </c>
      <c r="C573" s="474" t="s">
        <v>726</v>
      </c>
      <c r="D573" s="473" t="s">
        <v>727</v>
      </c>
      <c r="E573" s="475">
        <v>45891.5</v>
      </c>
      <c r="F573" s="475">
        <v>45891.5</v>
      </c>
      <c r="G573" s="475">
        <v>21042.743770000001</v>
      </c>
      <c r="H573" s="475">
        <v>19655.095010000001</v>
      </c>
      <c r="I573" s="471">
        <v>42.83</v>
      </c>
      <c r="J573" s="471"/>
    </row>
    <row r="574" spans="1:10" ht="89.25" hidden="1" outlineLevel="3">
      <c r="A574" s="467" t="s">
        <v>1284</v>
      </c>
      <c r="B574" s="468" t="s">
        <v>1285</v>
      </c>
      <c r="C574" s="469"/>
      <c r="D574" s="468"/>
      <c r="E574" s="470">
        <v>809.4</v>
      </c>
      <c r="F574" s="470">
        <v>809.4</v>
      </c>
      <c r="G574" s="470">
        <v>322.66500000000002</v>
      </c>
      <c r="H574" s="470">
        <v>182.43082000000001</v>
      </c>
      <c r="I574" s="471">
        <v>22.54</v>
      </c>
      <c r="J574" s="471"/>
    </row>
    <row r="575" spans="1:10" ht="89.25" hidden="1" outlineLevel="4">
      <c r="A575" s="472" t="s">
        <v>1284</v>
      </c>
      <c r="B575" s="473" t="s">
        <v>1285</v>
      </c>
      <c r="C575" s="474" t="s">
        <v>726</v>
      </c>
      <c r="D575" s="473" t="s">
        <v>727</v>
      </c>
      <c r="E575" s="475">
        <v>809.4</v>
      </c>
      <c r="F575" s="475">
        <v>809.4</v>
      </c>
      <c r="G575" s="475">
        <v>322.66500000000002</v>
      </c>
      <c r="H575" s="475">
        <v>182.43082000000001</v>
      </c>
      <c r="I575" s="471">
        <v>22.54</v>
      </c>
      <c r="J575" s="471"/>
    </row>
    <row r="576" spans="1:10" ht="153" hidden="1" outlineLevel="3">
      <c r="A576" s="467" t="s">
        <v>1286</v>
      </c>
      <c r="B576" s="468" t="s">
        <v>1287</v>
      </c>
      <c r="C576" s="469"/>
      <c r="D576" s="468"/>
      <c r="E576" s="470">
        <v>5129.3999999999996</v>
      </c>
      <c r="F576" s="470">
        <v>5129.3999999999996</v>
      </c>
      <c r="G576" s="470">
        <v>3534.8439699999999</v>
      </c>
      <c r="H576" s="470">
        <v>2909.9949700000002</v>
      </c>
      <c r="I576" s="471">
        <v>56.73</v>
      </c>
      <c r="J576" s="471"/>
    </row>
    <row r="577" spans="1:10" ht="153" hidden="1" outlineLevel="4">
      <c r="A577" s="472" t="s">
        <v>1286</v>
      </c>
      <c r="B577" s="473" t="s">
        <v>1287</v>
      </c>
      <c r="C577" s="474" t="s">
        <v>726</v>
      </c>
      <c r="D577" s="473" t="s">
        <v>727</v>
      </c>
      <c r="E577" s="475">
        <v>5129.3999999999996</v>
      </c>
      <c r="F577" s="475">
        <v>5129.3999999999996</v>
      </c>
      <c r="G577" s="475">
        <v>3534.8439699999999</v>
      </c>
      <c r="H577" s="475">
        <v>2909.9949700000002</v>
      </c>
      <c r="I577" s="471">
        <v>56.73</v>
      </c>
      <c r="J577" s="471"/>
    </row>
    <row r="578" spans="1:10" ht="38.25" hidden="1" outlineLevel="1">
      <c r="A578" s="457" t="s">
        <v>1288</v>
      </c>
      <c r="B578" s="458" t="s">
        <v>1289</v>
      </c>
      <c r="C578" s="459"/>
      <c r="D578" s="458"/>
      <c r="E578" s="460">
        <v>611358.87847</v>
      </c>
      <c r="F578" s="460">
        <v>611222.92689</v>
      </c>
      <c r="G578" s="460">
        <v>299511.98952</v>
      </c>
      <c r="H578" s="460">
        <v>286122.91334000003</v>
      </c>
      <c r="I578" s="461">
        <v>46.8</v>
      </c>
      <c r="J578" s="461"/>
    </row>
    <row r="579" spans="1:10" ht="63.75" hidden="1" outlineLevel="2">
      <c r="A579" s="462" t="s">
        <v>1290</v>
      </c>
      <c r="B579" s="463" t="s">
        <v>1291</v>
      </c>
      <c r="C579" s="464"/>
      <c r="D579" s="463"/>
      <c r="E579" s="465">
        <v>603599.63691999996</v>
      </c>
      <c r="F579" s="465">
        <v>603509.17313999997</v>
      </c>
      <c r="G579" s="465">
        <v>296247.76211000001</v>
      </c>
      <c r="H579" s="465">
        <v>282888.5956</v>
      </c>
      <c r="I579" s="466">
        <v>46.87</v>
      </c>
      <c r="J579" s="466"/>
    </row>
    <row r="580" spans="1:10" ht="25.5" hidden="1" outlineLevel="3">
      <c r="A580" s="467" t="s">
        <v>888</v>
      </c>
      <c r="B580" s="468" t="s">
        <v>1292</v>
      </c>
      <c r="C580" s="469"/>
      <c r="D580" s="468"/>
      <c r="E580" s="470">
        <v>84408.419779999997</v>
      </c>
      <c r="F580" s="470">
        <v>84408.419779999997</v>
      </c>
      <c r="G580" s="470">
        <v>41508.110359999999</v>
      </c>
      <c r="H580" s="470">
        <v>37139.788330000003</v>
      </c>
      <c r="I580" s="471">
        <v>44</v>
      </c>
      <c r="J580" s="471"/>
    </row>
    <row r="581" spans="1:10" ht="25.5" hidden="1" outlineLevel="4">
      <c r="A581" s="472" t="s">
        <v>888</v>
      </c>
      <c r="B581" s="473" t="s">
        <v>1292</v>
      </c>
      <c r="C581" s="474" t="s">
        <v>1058</v>
      </c>
      <c r="D581" s="473" t="s">
        <v>1059</v>
      </c>
      <c r="E581" s="475">
        <v>84408.419779999997</v>
      </c>
      <c r="F581" s="475">
        <v>84408.419779999997</v>
      </c>
      <c r="G581" s="475">
        <v>41508.110359999999</v>
      </c>
      <c r="H581" s="475">
        <v>37139.788330000003</v>
      </c>
      <c r="I581" s="471">
        <v>44</v>
      </c>
      <c r="J581" s="471"/>
    </row>
    <row r="582" spans="1:10" ht="38.25" hidden="1" outlineLevel="3">
      <c r="A582" s="467" t="s">
        <v>869</v>
      </c>
      <c r="B582" s="468" t="s">
        <v>1293</v>
      </c>
      <c r="C582" s="469"/>
      <c r="D582" s="468"/>
      <c r="E582" s="470">
        <v>1672.15869</v>
      </c>
      <c r="F582" s="470">
        <v>1669.15869</v>
      </c>
      <c r="G582" s="470">
        <v>718.63810000000001</v>
      </c>
      <c r="H582" s="470">
        <v>403.31067000000002</v>
      </c>
      <c r="I582" s="471">
        <v>24.12</v>
      </c>
      <c r="J582" s="471"/>
    </row>
    <row r="583" spans="1:10" ht="38.25" hidden="1" outlineLevel="4">
      <c r="A583" s="472" t="s">
        <v>869</v>
      </c>
      <c r="B583" s="473" t="s">
        <v>1293</v>
      </c>
      <c r="C583" s="474" t="s">
        <v>1058</v>
      </c>
      <c r="D583" s="473" t="s">
        <v>1059</v>
      </c>
      <c r="E583" s="475">
        <v>1672.15869</v>
      </c>
      <c r="F583" s="475">
        <v>1669.15869</v>
      </c>
      <c r="G583" s="475">
        <v>718.63810000000001</v>
      </c>
      <c r="H583" s="475">
        <v>403.31067000000002</v>
      </c>
      <c r="I583" s="471">
        <v>24.12</v>
      </c>
      <c r="J583" s="471"/>
    </row>
    <row r="584" spans="1:10" ht="76.5" hidden="1" outlineLevel="3">
      <c r="A584" s="467" t="s">
        <v>717</v>
      </c>
      <c r="B584" s="468" t="s">
        <v>1294</v>
      </c>
      <c r="C584" s="469"/>
      <c r="D584" s="468"/>
      <c r="E584" s="470">
        <v>505298.45844999998</v>
      </c>
      <c r="F584" s="470">
        <v>505210.99466999999</v>
      </c>
      <c r="G584" s="470">
        <v>251732.05940999999</v>
      </c>
      <c r="H584" s="470">
        <v>243229.11288</v>
      </c>
      <c r="I584" s="471">
        <v>48.14</v>
      </c>
      <c r="J584" s="471"/>
    </row>
    <row r="585" spans="1:10" ht="76.5" hidden="1" outlineLevel="4">
      <c r="A585" s="472" t="s">
        <v>717</v>
      </c>
      <c r="B585" s="473" t="s">
        <v>1294</v>
      </c>
      <c r="C585" s="474" t="s">
        <v>1058</v>
      </c>
      <c r="D585" s="473" t="s">
        <v>1059</v>
      </c>
      <c r="E585" s="475">
        <v>505298.45844999998</v>
      </c>
      <c r="F585" s="475">
        <v>505210.99466999999</v>
      </c>
      <c r="G585" s="475">
        <v>251732.05940999999</v>
      </c>
      <c r="H585" s="475">
        <v>243229.11288</v>
      </c>
      <c r="I585" s="471">
        <v>48.14</v>
      </c>
      <c r="J585" s="471"/>
    </row>
    <row r="586" spans="1:10" ht="63.75" hidden="1" outlineLevel="3">
      <c r="A586" s="467" t="s">
        <v>62</v>
      </c>
      <c r="B586" s="468" t="s">
        <v>1295</v>
      </c>
      <c r="C586" s="469"/>
      <c r="D586" s="468"/>
      <c r="E586" s="470">
        <v>12170.6</v>
      </c>
      <c r="F586" s="470">
        <v>12170.6</v>
      </c>
      <c r="G586" s="470">
        <v>2247.9322400000001</v>
      </c>
      <c r="H586" s="470">
        <v>2075.3617199999999</v>
      </c>
      <c r="I586" s="471">
        <v>17.05</v>
      </c>
      <c r="J586" s="471"/>
    </row>
    <row r="587" spans="1:10" ht="63.75" hidden="1" outlineLevel="4">
      <c r="A587" s="472" t="s">
        <v>62</v>
      </c>
      <c r="B587" s="473" t="s">
        <v>1295</v>
      </c>
      <c r="C587" s="474" t="s">
        <v>1058</v>
      </c>
      <c r="D587" s="473" t="s">
        <v>1059</v>
      </c>
      <c r="E587" s="475">
        <v>12170.6</v>
      </c>
      <c r="F587" s="475">
        <v>12170.6</v>
      </c>
      <c r="G587" s="475">
        <v>2247.9322400000001</v>
      </c>
      <c r="H587" s="475">
        <v>2075.3617199999999</v>
      </c>
      <c r="I587" s="471">
        <v>17.05</v>
      </c>
      <c r="J587" s="471"/>
    </row>
    <row r="588" spans="1:10" ht="76.5" hidden="1" outlineLevel="3">
      <c r="A588" s="467" t="s">
        <v>157</v>
      </c>
      <c r="B588" s="468" t="s">
        <v>1296</v>
      </c>
      <c r="C588" s="469"/>
      <c r="D588" s="468"/>
      <c r="E588" s="470">
        <v>50</v>
      </c>
      <c r="F588" s="470">
        <v>50</v>
      </c>
      <c r="G588" s="470">
        <v>41.021999999999998</v>
      </c>
      <c r="H588" s="470">
        <v>41.021999999999998</v>
      </c>
      <c r="I588" s="471">
        <v>82.04</v>
      </c>
      <c r="J588" s="471"/>
    </row>
    <row r="589" spans="1:10" ht="76.5" hidden="1" outlineLevel="4">
      <c r="A589" s="472" t="s">
        <v>157</v>
      </c>
      <c r="B589" s="473" t="s">
        <v>1296</v>
      </c>
      <c r="C589" s="474" t="s">
        <v>1058</v>
      </c>
      <c r="D589" s="473" t="s">
        <v>1059</v>
      </c>
      <c r="E589" s="475">
        <v>50</v>
      </c>
      <c r="F589" s="475">
        <v>50</v>
      </c>
      <c r="G589" s="475">
        <v>41.021999999999998</v>
      </c>
      <c r="H589" s="475">
        <v>41.021999999999998</v>
      </c>
      <c r="I589" s="471">
        <v>82.04</v>
      </c>
      <c r="J589" s="471"/>
    </row>
    <row r="590" spans="1:10" ht="38.25" hidden="1" outlineLevel="2">
      <c r="A590" s="462" t="s">
        <v>1297</v>
      </c>
      <c r="B590" s="463" t="s">
        <v>1298</v>
      </c>
      <c r="C590" s="464"/>
      <c r="D590" s="463"/>
      <c r="E590" s="465">
        <v>7759.2415499999997</v>
      </c>
      <c r="F590" s="465">
        <v>7713.7537499999999</v>
      </c>
      <c r="G590" s="465">
        <v>3264.22741</v>
      </c>
      <c r="H590" s="465">
        <v>3234.31774</v>
      </c>
      <c r="I590" s="466">
        <v>41.68</v>
      </c>
      <c r="J590" s="466"/>
    </row>
    <row r="591" spans="1:10" ht="38.25" hidden="1" outlineLevel="3">
      <c r="A591" s="467" t="s">
        <v>869</v>
      </c>
      <c r="B591" s="468" t="s">
        <v>1299</v>
      </c>
      <c r="C591" s="469"/>
      <c r="D591" s="468"/>
      <c r="E591" s="470">
        <v>437.8</v>
      </c>
      <c r="F591" s="470">
        <v>437.8</v>
      </c>
      <c r="G591" s="470">
        <v>163.28062</v>
      </c>
      <c r="H591" s="470">
        <v>154.98061999999999</v>
      </c>
      <c r="I591" s="471">
        <v>35.4</v>
      </c>
      <c r="J591" s="471"/>
    </row>
    <row r="592" spans="1:10" ht="38.25" hidden="1" outlineLevel="4">
      <c r="A592" s="472" t="s">
        <v>869</v>
      </c>
      <c r="B592" s="473" t="s">
        <v>1299</v>
      </c>
      <c r="C592" s="474" t="s">
        <v>1058</v>
      </c>
      <c r="D592" s="473" t="s">
        <v>1059</v>
      </c>
      <c r="E592" s="475">
        <v>437.8</v>
      </c>
      <c r="F592" s="475">
        <v>437.8</v>
      </c>
      <c r="G592" s="475">
        <v>163.28062</v>
      </c>
      <c r="H592" s="475">
        <v>154.98061999999999</v>
      </c>
      <c r="I592" s="471">
        <v>35.4</v>
      </c>
      <c r="J592" s="471"/>
    </row>
    <row r="593" spans="1:10" ht="51" hidden="1" outlineLevel="3">
      <c r="A593" s="467" t="s">
        <v>876</v>
      </c>
      <c r="B593" s="468" t="s">
        <v>1300</v>
      </c>
      <c r="C593" s="469"/>
      <c r="D593" s="468"/>
      <c r="E593" s="470">
        <v>7321.4415499999996</v>
      </c>
      <c r="F593" s="470">
        <v>7275.9537499999997</v>
      </c>
      <c r="G593" s="470">
        <v>3100.94679</v>
      </c>
      <c r="H593" s="470">
        <v>3079.3371200000001</v>
      </c>
      <c r="I593" s="471">
        <v>42.06</v>
      </c>
      <c r="J593" s="471"/>
    </row>
    <row r="594" spans="1:10" ht="51" hidden="1" outlineLevel="4">
      <c r="A594" s="472" t="s">
        <v>876</v>
      </c>
      <c r="B594" s="473" t="s">
        <v>1300</v>
      </c>
      <c r="C594" s="474" t="s">
        <v>1058</v>
      </c>
      <c r="D594" s="473" t="s">
        <v>1059</v>
      </c>
      <c r="E594" s="475">
        <v>7321.4415499999996</v>
      </c>
      <c r="F594" s="475">
        <v>7275.9537499999997</v>
      </c>
      <c r="G594" s="475">
        <v>3100.94679</v>
      </c>
      <c r="H594" s="475">
        <v>3079.3371200000001</v>
      </c>
      <c r="I594" s="471">
        <v>42.06</v>
      </c>
      <c r="J594" s="471"/>
    </row>
    <row r="595" spans="1:10" ht="45.75" collapsed="1" thickBot="1">
      <c r="A595" s="452" t="s">
        <v>1301</v>
      </c>
      <c r="B595" s="453" t="s">
        <v>1302</v>
      </c>
      <c r="C595" s="454"/>
      <c r="D595" s="453"/>
      <c r="E595" s="455">
        <v>2349736.7499299999</v>
      </c>
      <c r="F595" s="455">
        <v>2273780.1741300002</v>
      </c>
      <c r="G595" s="455">
        <v>644909.92969999998</v>
      </c>
      <c r="H595" s="455">
        <v>604021.47143999999</v>
      </c>
      <c r="I595" s="456">
        <v>25.71</v>
      </c>
      <c r="J595" s="456"/>
    </row>
    <row r="596" spans="1:10" ht="25.5" outlineLevel="1">
      <c r="A596" s="457" t="s">
        <v>1303</v>
      </c>
      <c r="B596" s="458" t="s">
        <v>1304</v>
      </c>
      <c r="C596" s="459"/>
      <c r="D596" s="458"/>
      <c r="E596" s="460">
        <v>129389.03087</v>
      </c>
      <c r="F596" s="460">
        <v>129389.03087</v>
      </c>
      <c r="G596" s="460">
        <v>14257.29464</v>
      </c>
      <c r="H596" s="460">
        <v>14208.494640000001</v>
      </c>
      <c r="I596" s="461">
        <v>10.98</v>
      </c>
      <c r="J596" s="461"/>
    </row>
    <row r="597" spans="1:10" ht="51" outlineLevel="2">
      <c r="A597" s="462" t="s">
        <v>1305</v>
      </c>
      <c r="B597" s="463" t="s">
        <v>1306</v>
      </c>
      <c r="C597" s="464"/>
      <c r="D597" s="463"/>
      <c r="E597" s="465">
        <v>19000</v>
      </c>
      <c r="F597" s="465">
        <v>19000</v>
      </c>
      <c r="G597" s="465">
        <v>0</v>
      </c>
      <c r="H597" s="465">
        <v>0</v>
      </c>
      <c r="I597" s="466">
        <v>0</v>
      </c>
      <c r="J597" s="466"/>
    </row>
    <row r="598" spans="1:10" ht="25.5" outlineLevel="3">
      <c r="A598" s="467" t="s">
        <v>728</v>
      </c>
      <c r="B598" s="468" t="s">
        <v>1307</v>
      </c>
      <c r="C598" s="469"/>
      <c r="D598" s="468"/>
      <c r="E598" s="470">
        <v>19000</v>
      </c>
      <c r="F598" s="470">
        <v>19000</v>
      </c>
      <c r="G598" s="470">
        <v>0</v>
      </c>
      <c r="H598" s="470">
        <v>0</v>
      </c>
      <c r="I598" s="471">
        <v>0</v>
      </c>
      <c r="J598" s="471"/>
    </row>
    <row r="599" spans="1:10" ht="25.5" outlineLevel="4">
      <c r="A599" s="472" t="s">
        <v>728</v>
      </c>
      <c r="B599" s="473" t="s">
        <v>1307</v>
      </c>
      <c r="C599" s="474" t="s">
        <v>667</v>
      </c>
      <c r="D599" s="473" t="s">
        <v>732</v>
      </c>
      <c r="E599" s="475">
        <v>19000</v>
      </c>
      <c r="F599" s="475">
        <v>19000</v>
      </c>
      <c r="G599" s="475">
        <v>0</v>
      </c>
      <c r="H599" s="475">
        <v>0</v>
      </c>
      <c r="I599" s="471">
        <v>0</v>
      </c>
      <c r="J599" s="471"/>
    </row>
    <row r="600" spans="1:10" ht="63.75" outlineLevel="2">
      <c r="A600" s="462" t="s">
        <v>1308</v>
      </c>
      <c r="B600" s="463" t="s">
        <v>1309</v>
      </c>
      <c r="C600" s="464"/>
      <c r="D600" s="463"/>
      <c r="E600" s="465">
        <v>427.5</v>
      </c>
      <c r="F600" s="465">
        <v>427.5</v>
      </c>
      <c r="G600" s="465">
        <v>71.25</v>
      </c>
      <c r="H600" s="465">
        <v>71.25</v>
      </c>
      <c r="I600" s="466">
        <v>16.670000000000002</v>
      </c>
      <c r="J600" s="466"/>
    </row>
    <row r="601" spans="1:10" ht="76.5" outlineLevel="3">
      <c r="A601" s="467" t="s">
        <v>717</v>
      </c>
      <c r="B601" s="468" t="s">
        <v>1310</v>
      </c>
      <c r="C601" s="469"/>
      <c r="D601" s="468"/>
      <c r="E601" s="470">
        <v>427.5</v>
      </c>
      <c r="F601" s="470">
        <v>427.5</v>
      </c>
      <c r="G601" s="470">
        <v>71.25</v>
      </c>
      <c r="H601" s="470">
        <v>71.25</v>
      </c>
      <c r="I601" s="471">
        <v>16.670000000000002</v>
      </c>
      <c r="J601" s="471"/>
    </row>
    <row r="602" spans="1:10" ht="76.5" outlineLevel="4">
      <c r="A602" s="472" t="s">
        <v>717</v>
      </c>
      <c r="B602" s="473" t="s">
        <v>1310</v>
      </c>
      <c r="C602" s="474" t="s">
        <v>667</v>
      </c>
      <c r="D602" s="473" t="s">
        <v>732</v>
      </c>
      <c r="E602" s="475">
        <v>427.5</v>
      </c>
      <c r="F602" s="475">
        <v>427.5</v>
      </c>
      <c r="G602" s="475">
        <v>71.25</v>
      </c>
      <c r="H602" s="475">
        <v>71.25</v>
      </c>
      <c r="I602" s="471">
        <v>16.670000000000002</v>
      </c>
      <c r="J602" s="471"/>
    </row>
    <row r="603" spans="1:10" ht="25.5" outlineLevel="2">
      <c r="A603" s="462" t="s">
        <v>1311</v>
      </c>
      <c r="B603" s="463" t="s">
        <v>1312</v>
      </c>
      <c r="C603" s="464"/>
      <c r="D603" s="463"/>
      <c r="E603" s="465">
        <v>109961.53087</v>
      </c>
      <c r="F603" s="465">
        <v>109961.53087</v>
      </c>
      <c r="G603" s="465">
        <v>14186.04464</v>
      </c>
      <c r="H603" s="465">
        <v>14137.244640000001</v>
      </c>
      <c r="I603" s="466">
        <v>12.86</v>
      </c>
      <c r="J603" s="466"/>
    </row>
    <row r="604" spans="1:10" ht="76.5" outlineLevel="3">
      <c r="A604" s="467" t="s">
        <v>717</v>
      </c>
      <c r="B604" s="468" t="s">
        <v>1313</v>
      </c>
      <c r="C604" s="469"/>
      <c r="D604" s="468"/>
      <c r="E604" s="470">
        <v>50713.312980000002</v>
      </c>
      <c r="F604" s="470">
        <v>50713.312980000002</v>
      </c>
      <c r="G604" s="470">
        <v>14069.91563</v>
      </c>
      <c r="H604" s="470">
        <v>14069.91563</v>
      </c>
      <c r="I604" s="471">
        <v>27.74</v>
      </c>
      <c r="J604" s="471"/>
    </row>
    <row r="605" spans="1:10" ht="76.5" outlineLevel="4">
      <c r="A605" s="472" t="s">
        <v>717</v>
      </c>
      <c r="B605" s="473" t="s">
        <v>1313</v>
      </c>
      <c r="C605" s="474" t="s">
        <v>667</v>
      </c>
      <c r="D605" s="473" t="s">
        <v>732</v>
      </c>
      <c r="E605" s="475">
        <v>50713.312980000002</v>
      </c>
      <c r="F605" s="475">
        <v>50713.312980000002</v>
      </c>
      <c r="G605" s="475">
        <v>14069.91563</v>
      </c>
      <c r="H605" s="475">
        <v>14069.91563</v>
      </c>
      <c r="I605" s="471">
        <v>27.74</v>
      </c>
      <c r="J605" s="471"/>
    </row>
    <row r="606" spans="1:10" ht="25.5" outlineLevel="3">
      <c r="A606" s="467" t="s">
        <v>728</v>
      </c>
      <c r="B606" s="468" t="s">
        <v>1314</v>
      </c>
      <c r="C606" s="469"/>
      <c r="D606" s="468"/>
      <c r="E606" s="470">
        <v>6336.1202000000003</v>
      </c>
      <c r="F606" s="470">
        <v>6336.1202000000003</v>
      </c>
      <c r="G606" s="470">
        <v>67.329009999999997</v>
      </c>
      <c r="H606" s="470">
        <v>67.329009999999997</v>
      </c>
      <c r="I606" s="471">
        <v>1.06</v>
      </c>
      <c r="J606" s="471"/>
    </row>
    <row r="607" spans="1:10" ht="25.5" outlineLevel="4">
      <c r="A607" s="472" t="s">
        <v>728</v>
      </c>
      <c r="B607" s="473" t="s">
        <v>1314</v>
      </c>
      <c r="C607" s="474" t="s">
        <v>667</v>
      </c>
      <c r="D607" s="473" t="s">
        <v>732</v>
      </c>
      <c r="E607" s="475">
        <v>6336.1202000000003</v>
      </c>
      <c r="F607" s="475">
        <v>6336.1202000000003</v>
      </c>
      <c r="G607" s="475">
        <v>67.329009999999997</v>
      </c>
      <c r="H607" s="475">
        <v>67.329009999999997</v>
      </c>
      <c r="I607" s="471">
        <v>1.06</v>
      </c>
      <c r="J607" s="471"/>
    </row>
    <row r="608" spans="1:10" ht="38.25" outlineLevel="3">
      <c r="A608" s="467" t="s">
        <v>579</v>
      </c>
      <c r="B608" s="468" t="s">
        <v>1315</v>
      </c>
      <c r="C608" s="469"/>
      <c r="D608" s="468"/>
      <c r="E608" s="470">
        <v>45897.872340000002</v>
      </c>
      <c r="F608" s="470">
        <v>45897.872340000002</v>
      </c>
      <c r="G608" s="470">
        <v>0</v>
      </c>
      <c r="H608" s="470">
        <v>0</v>
      </c>
      <c r="I608" s="471">
        <v>0</v>
      </c>
      <c r="J608" s="471"/>
    </row>
    <row r="609" spans="1:10" ht="38.25" outlineLevel="4">
      <c r="A609" s="472" t="s">
        <v>579</v>
      </c>
      <c r="B609" s="473" t="s">
        <v>1315</v>
      </c>
      <c r="C609" s="474" t="s">
        <v>667</v>
      </c>
      <c r="D609" s="473" t="s">
        <v>732</v>
      </c>
      <c r="E609" s="475">
        <v>45897.872340000002</v>
      </c>
      <c r="F609" s="475">
        <v>45897.872340000002</v>
      </c>
      <c r="G609" s="475">
        <v>0</v>
      </c>
      <c r="H609" s="475">
        <v>0</v>
      </c>
      <c r="I609" s="471">
        <v>0</v>
      </c>
      <c r="J609" s="476" t="s">
        <v>10</v>
      </c>
    </row>
    <row r="610" spans="1:10" ht="38.25" outlineLevel="3">
      <c r="A610" s="467" t="s">
        <v>1316</v>
      </c>
      <c r="B610" s="468" t="s">
        <v>1317</v>
      </c>
      <c r="C610" s="469"/>
      <c r="D610" s="468"/>
      <c r="E610" s="470">
        <v>7014.2253499999997</v>
      </c>
      <c r="F610" s="470">
        <v>7014.2253499999997</v>
      </c>
      <c r="G610" s="470">
        <v>48.8</v>
      </c>
      <c r="H610" s="470">
        <v>0</v>
      </c>
      <c r="I610" s="471">
        <v>0</v>
      </c>
      <c r="J610" s="471"/>
    </row>
    <row r="611" spans="1:10" ht="38.25" outlineLevel="4">
      <c r="A611" s="472" t="s">
        <v>1316</v>
      </c>
      <c r="B611" s="473" t="s">
        <v>1317</v>
      </c>
      <c r="C611" s="474" t="s">
        <v>667</v>
      </c>
      <c r="D611" s="473" t="s">
        <v>732</v>
      </c>
      <c r="E611" s="475">
        <v>7014.2253499999997</v>
      </c>
      <c r="F611" s="475">
        <v>7014.2253499999997</v>
      </c>
      <c r="G611" s="475">
        <v>48.8</v>
      </c>
      <c r="H611" s="475">
        <v>0</v>
      </c>
      <c r="I611" s="471">
        <v>0</v>
      </c>
      <c r="J611" s="476" t="s">
        <v>10</v>
      </c>
    </row>
    <row r="612" spans="1:10" ht="25.5" outlineLevel="1">
      <c r="A612" s="457" t="s">
        <v>1318</v>
      </c>
      <c r="B612" s="458" t="s">
        <v>1319</v>
      </c>
      <c r="C612" s="459"/>
      <c r="D612" s="458"/>
      <c r="E612" s="460">
        <v>776079.68698999996</v>
      </c>
      <c r="F612" s="460">
        <v>764833.17591999995</v>
      </c>
      <c r="G612" s="460">
        <v>273072.91282000003</v>
      </c>
      <c r="H612" s="460">
        <v>272273.73262000002</v>
      </c>
      <c r="I612" s="461">
        <v>35.08</v>
      </c>
      <c r="J612" s="461"/>
    </row>
    <row r="613" spans="1:10" ht="51" outlineLevel="2">
      <c r="A613" s="462" t="s">
        <v>1320</v>
      </c>
      <c r="B613" s="463" t="s">
        <v>1321</v>
      </c>
      <c r="C613" s="464"/>
      <c r="D613" s="463"/>
      <c r="E613" s="465">
        <v>64637.327700000002</v>
      </c>
      <c r="F613" s="465">
        <v>55903.579700000002</v>
      </c>
      <c r="G613" s="465">
        <v>24901.881000000001</v>
      </c>
      <c r="H613" s="465">
        <v>24901.881000000001</v>
      </c>
      <c r="I613" s="466">
        <v>38.53</v>
      </c>
      <c r="J613" s="466"/>
    </row>
    <row r="614" spans="1:10" ht="76.5" outlineLevel="3">
      <c r="A614" s="467" t="s">
        <v>717</v>
      </c>
      <c r="B614" s="468" t="s">
        <v>1322</v>
      </c>
      <c r="C614" s="469"/>
      <c r="D614" s="468"/>
      <c r="E614" s="470">
        <v>25032.07</v>
      </c>
      <c r="F614" s="470">
        <v>24298.322</v>
      </c>
      <c r="G614" s="470">
        <v>16.3</v>
      </c>
      <c r="H614" s="470">
        <v>16.3</v>
      </c>
      <c r="I614" s="471">
        <v>7.0000000000000007E-2</v>
      </c>
      <c r="J614" s="471"/>
    </row>
    <row r="615" spans="1:10" ht="76.5" outlineLevel="4">
      <c r="A615" s="472" t="s">
        <v>717</v>
      </c>
      <c r="B615" s="473" t="s">
        <v>1322</v>
      </c>
      <c r="C615" s="474" t="s">
        <v>667</v>
      </c>
      <c r="D615" s="473" t="s">
        <v>732</v>
      </c>
      <c r="E615" s="475">
        <v>25032.07</v>
      </c>
      <c r="F615" s="475">
        <v>24298.322</v>
      </c>
      <c r="G615" s="475">
        <v>16.3</v>
      </c>
      <c r="H615" s="475">
        <v>16.3</v>
      </c>
      <c r="I615" s="471">
        <v>7.0000000000000007E-2</v>
      </c>
      <c r="J615" s="471"/>
    </row>
    <row r="616" spans="1:10" ht="25.5" outlineLevel="3">
      <c r="A616" s="467" t="s">
        <v>728</v>
      </c>
      <c r="B616" s="468" t="s">
        <v>1323</v>
      </c>
      <c r="C616" s="469"/>
      <c r="D616" s="468"/>
      <c r="E616" s="470">
        <v>1605.2577000000001</v>
      </c>
      <c r="F616" s="470">
        <v>1605.2577000000001</v>
      </c>
      <c r="G616" s="470">
        <v>304</v>
      </c>
      <c r="H616" s="470">
        <v>304</v>
      </c>
      <c r="I616" s="471">
        <v>18.940000000000001</v>
      </c>
      <c r="J616" s="471"/>
    </row>
    <row r="617" spans="1:10" ht="25.5" outlineLevel="4">
      <c r="A617" s="472" t="s">
        <v>728</v>
      </c>
      <c r="B617" s="473" t="s">
        <v>1323</v>
      </c>
      <c r="C617" s="474" t="s">
        <v>667</v>
      </c>
      <c r="D617" s="473" t="s">
        <v>732</v>
      </c>
      <c r="E617" s="475">
        <v>1605.2577000000001</v>
      </c>
      <c r="F617" s="475">
        <v>1605.2577000000001</v>
      </c>
      <c r="G617" s="475">
        <v>304</v>
      </c>
      <c r="H617" s="475">
        <v>304</v>
      </c>
      <c r="I617" s="471">
        <v>18.940000000000001</v>
      </c>
      <c r="J617" s="471"/>
    </row>
    <row r="618" spans="1:10" ht="38.25" outlineLevel="3">
      <c r="A618" s="467" t="s">
        <v>1082</v>
      </c>
      <c r="B618" s="468" t="s">
        <v>1324</v>
      </c>
      <c r="C618" s="469"/>
      <c r="D618" s="468"/>
      <c r="E618" s="470">
        <v>38000</v>
      </c>
      <c r="F618" s="470">
        <v>30000</v>
      </c>
      <c r="G618" s="470">
        <v>24581.580999999998</v>
      </c>
      <c r="H618" s="470">
        <v>24581.580999999998</v>
      </c>
      <c r="I618" s="471">
        <v>64.69</v>
      </c>
      <c r="J618" s="471"/>
    </row>
    <row r="619" spans="1:10" ht="38.25" outlineLevel="4">
      <c r="A619" s="472" t="s">
        <v>1082</v>
      </c>
      <c r="B619" s="473" t="s">
        <v>1324</v>
      </c>
      <c r="C619" s="474" t="s">
        <v>667</v>
      </c>
      <c r="D619" s="473" t="s">
        <v>732</v>
      </c>
      <c r="E619" s="475">
        <v>38000</v>
      </c>
      <c r="F619" s="475">
        <v>30000</v>
      </c>
      <c r="G619" s="475">
        <v>24581.580999999998</v>
      </c>
      <c r="H619" s="475">
        <v>24581.580999999998</v>
      </c>
      <c r="I619" s="471">
        <v>64.69</v>
      </c>
      <c r="J619" s="471"/>
    </row>
    <row r="620" spans="1:10" ht="51" outlineLevel="2">
      <c r="A620" s="462" t="s">
        <v>1325</v>
      </c>
      <c r="B620" s="463" t="s">
        <v>1326</v>
      </c>
      <c r="C620" s="464"/>
      <c r="D620" s="463"/>
      <c r="E620" s="465">
        <v>145851.67032</v>
      </c>
      <c r="F620" s="465">
        <v>143780.56291000001</v>
      </c>
      <c r="G620" s="465">
        <v>58325.776960000003</v>
      </c>
      <c r="H620" s="465">
        <v>58303.316760000002</v>
      </c>
      <c r="I620" s="466">
        <v>39.97</v>
      </c>
      <c r="J620" s="466"/>
    </row>
    <row r="621" spans="1:10" ht="76.5" outlineLevel="3">
      <c r="A621" s="467" t="s">
        <v>717</v>
      </c>
      <c r="B621" s="468" t="s">
        <v>1327</v>
      </c>
      <c r="C621" s="469"/>
      <c r="D621" s="468"/>
      <c r="E621" s="470">
        <v>142290.37031999999</v>
      </c>
      <c r="F621" s="470">
        <v>142290.37031999999</v>
      </c>
      <c r="G621" s="470">
        <v>57576.584369999997</v>
      </c>
      <c r="H621" s="470">
        <v>57576.584369999997</v>
      </c>
      <c r="I621" s="471">
        <v>40.46</v>
      </c>
      <c r="J621" s="471"/>
    </row>
    <row r="622" spans="1:10" ht="76.5" outlineLevel="4">
      <c r="A622" s="472" t="s">
        <v>717</v>
      </c>
      <c r="B622" s="473" t="s">
        <v>1327</v>
      </c>
      <c r="C622" s="474" t="s">
        <v>667</v>
      </c>
      <c r="D622" s="473" t="s">
        <v>732</v>
      </c>
      <c r="E622" s="475">
        <v>142290.37031999999</v>
      </c>
      <c r="F622" s="475">
        <v>142290.37031999999</v>
      </c>
      <c r="G622" s="475">
        <v>57576.584369999997</v>
      </c>
      <c r="H622" s="475">
        <v>57576.584369999997</v>
      </c>
      <c r="I622" s="471">
        <v>40.46</v>
      </c>
      <c r="J622" s="471"/>
    </row>
    <row r="623" spans="1:10" ht="63.75" outlineLevel="3">
      <c r="A623" s="467" t="s">
        <v>62</v>
      </c>
      <c r="B623" s="468" t="s">
        <v>1328</v>
      </c>
      <c r="C623" s="469"/>
      <c r="D623" s="468"/>
      <c r="E623" s="470">
        <v>3483.18361</v>
      </c>
      <c r="F623" s="470">
        <v>1412.0762</v>
      </c>
      <c r="G623" s="470">
        <v>671.07619999999997</v>
      </c>
      <c r="H623" s="470">
        <v>648.61599999999999</v>
      </c>
      <c r="I623" s="471">
        <v>18.62</v>
      </c>
      <c r="J623" s="471"/>
    </row>
    <row r="624" spans="1:10" ht="63.75" outlineLevel="4">
      <c r="A624" s="472" t="s">
        <v>62</v>
      </c>
      <c r="B624" s="473" t="s">
        <v>1328</v>
      </c>
      <c r="C624" s="474" t="s">
        <v>667</v>
      </c>
      <c r="D624" s="473" t="s">
        <v>732</v>
      </c>
      <c r="E624" s="475">
        <v>3483.18361</v>
      </c>
      <c r="F624" s="475">
        <v>1412.0762</v>
      </c>
      <c r="G624" s="475">
        <v>671.07619999999997</v>
      </c>
      <c r="H624" s="475">
        <v>648.61599999999999</v>
      </c>
      <c r="I624" s="471">
        <v>18.62</v>
      </c>
      <c r="J624" s="471"/>
    </row>
    <row r="625" spans="1:10" ht="76.5" outlineLevel="3">
      <c r="A625" s="467" t="s">
        <v>157</v>
      </c>
      <c r="B625" s="468" t="s">
        <v>1329</v>
      </c>
      <c r="C625" s="469"/>
      <c r="D625" s="468"/>
      <c r="E625" s="470">
        <v>78.116389999999996</v>
      </c>
      <c r="F625" s="470">
        <v>78.116389999999996</v>
      </c>
      <c r="G625" s="470">
        <v>78.116389999999996</v>
      </c>
      <c r="H625" s="470">
        <v>78.116389999999996</v>
      </c>
      <c r="I625" s="471">
        <v>100</v>
      </c>
      <c r="J625" s="471"/>
    </row>
    <row r="626" spans="1:10" ht="76.5" outlineLevel="4">
      <c r="A626" s="472" t="s">
        <v>157</v>
      </c>
      <c r="B626" s="473" t="s">
        <v>1329</v>
      </c>
      <c r="C626" s="474" t="s">
        <v>667</v>
      </c>
      <c r="D626" s="473" t="s">
        <v>732</v>
      </c>
      <c r="E626" s="475">
        <v>78.116389999999996</v>
      </c>
      <c r="F626" s="475">
        <v>78.116389999999996</v>
      </c>
      <c r="G626" s="475">
        <v>78.116389999999996</v>
      </c>
      <c r="H626" s="475">
        <v>78.116389999999996</v>
      </c>
      <c r="I626" s="471">
        <v>100</v>
      </c>
      <c r="J626" s="471"/>
    </row>
    <row r="627" spans="1:10" ht="38.25" outlineLevel="2">
      <c r="A627" s="462" t="s">
        <v>1330</v>
      </c>
      <c r="B627" s="463" t="s">
        <v>1331</v>
      </c>
      <c r="C627" s="464"/>
      <c r="D627" s="463"/>
      <c r="E627" s="465">
        <v>523.38566000000003</v>
      </c>
      <c r="F627" s="465">
        <v>81.73</v>
      </c>
      <c r="G627" s="465">
        <v>64.790000000000006</v>
      </c>
      <c r="H627" s="465">
        <v>64.790000000000006</v>
      </c>
      <c r="I627" s="466">
        <v>12.38</v>
      </c>
      <c r="J627" s="466"/>
    </row>
    <row r="628" spans="1:10" ht="76.5" outlineLevel="3">
      <c r="A628" s="467" t="s">
        <v>717</v>
      </c>
      <c r="B628" s="468" t="s">
        <v>1332</v>
      </c>
      <c r="C628" s="469"/>
      <c r="D628" s="468"/>
      <c r="E628" s="470">
        <v>523.38566000000003</v>
      </c>
      <c r="F628" s="470">
        <v>81.73</v>
      </c>
      <c r="G628" s="470">
        <v>64.790000000000006</v>
      </c>
      <c r="H628" s="470">
        <v>64.790000000000006</v>
      </c>
      <c r="I628" s="471">
        <v>12.38</v>
      </c>
      <c r="J628" s="471"/>
    </row>
    <row r="629" spans="1:10" ht="76.5" outlineLevel="4">
      <c r="A629" s="472" t="s">
        <v>717</v>
      </c>
      <c r="B629" s="473" t="s">
        <v>1332</v>
      </c>
      <c r="C629" s="474" t="s">
        <v>667</v>
      </c>
      <c r="D629" s="473" t="s">
        <v>732</v>
      </c>
      <c r="E629" s="475">
        <v>523.38566000000003</v>
      </c>
      <c r="F629" s="475">
        <v>81.73</v>
      </c>
      <c r="G629" s="475">
        <v>64.790000000000006</v>
      </c>
      <c r="H629" s="475">
        <v>64.790000000000006</v>
      </c>
      <c r="I629" s="471">
        <v>12.38</v>
      </c>
      <c r="J629" s="471"/>
    </row>
    <row r="630" spans="1:10" ht="25.5" outlineLevel="2">
      <c r="A630" s="462" t="s">
        <v>1311</v>
      </c>
      <c r="B630" s="463" t="s">
        <v>1333</v>
      </c>
      <c r="C630" s="464"/>
      <c r="D630" s="463"/>
      <c r="E630" s="465">
        <v>565067.30330999999</v>
      </c>
      <c r="F630" s="465">
        <v>565067.30330999999</v>
      </c>
      <c r="G630" s="465">
        <v>189780.46486000001</v>
      </c>
      <c r="H630" s="465">
        <v>189003.74486000001</v>
      </c>
      <c r="I630" s="466">
        <v>33.450000000000003</v>
      </c>
      <c r="J630" s="466"/>
    </row>
    <row r="631" spans="1:10" ht="76.5" outlineLevel="3">
      <c r="A631" s="467" t="s">
        <v>717</v>
      </c>
      <c r="B631" s="468" t="s">
        <v>1334</v>
      </c>
      <c r="C631" s="469"/>
      <c r="D631" s="468"/>
      <c r="E631" s="470">
        <v>498631.47976000002</v>
      </c>
      <c r="F631" s="470">
        <v>498631.47976000002</v>
      </c>
      <c r="G631" s="470">
        <v>162059.45139999999</v>
      </c>
      <c r="H631" s="470">
        <v>162059.45139999999</v>
      </c>
      <c r="I631" s="471">
        <v>32.5</v>
      </c>
      <c r="J631" s="471"/>
    </row>
    <row r="632" spans="1:10" ht="76.5" outlineLevel="4">
      <c r="A632" s="472" t="s">
        <v>717</v>
      </c>
      <c r="B632" s="473" t="s">
        <v>1334</v>
      </c>
      <c r="C632" s="474" t="s">
        <v>667</v>
      </c>
      <c r="D632" s="473" t="s">
        <v>732</v>
      </c>
      <c r="E632" s="475">
        <v>498631.47976000002</v>
      </c>
      <c r="F632" s="475">
        <v>498631.47976000002</v>
      </c>
      <c r="G632" s="475">
        <v>162059.45139999999</v>
      </c>
      <c r="H632" s="475">
        <v>162059.45139999999</v>
      </c>
      <c r="I632" s="471">
        <v>32.5</v>
      </c>
      <c r="J632" s="471"/>
    </row>
    <row r="633" spans="1:10" ht="51" outlineLevel="3">
      <c r="A633" s="467" t="s">
        <v>1335</v>
      </c>
      <c r="B633" s="468" t="s">
        <v>1336</v>
      </c>
      <c r="C633" s="469"/>
      <c r="D633" s="468"/>
      <c r="E633" s="470">
        <v>8416.4788700000008</v>
      </c>
      <c r="F633" s="470">
        <v>8416.4788700000008</v>
      </c>
      <c r="G633" s="470">
        <v>6253.4788699999999</v>
      </c>
      <c r="H633" s="470">
        <v>6253.4788699999999</v>
      </c>
      <c r="I633" s="471">
        <v>74.3</v>
      </c>
      <c r="J633" s="471"/>
    </row>
    <row r="634" spans="1:10" ht="51" outlineLevel="4">
      <c r="A634" s="472" t="s">
        <v>1335</v>
      </c>
      <c r="B634" s="473" t="s">
        <v>1336</v>
      </c>
      <c r="C634" s="474" t="s">
        <v>667</v>
      </c>
      <c r="D634" s="473" t="s">
        <v>732</v>
      </c>
      <c r="E634" s="475">
        <v>8416.4788700000008</v>
      </c>
      <c r="F634" s="475">
        <v>8416.4788700000008</v>
      </c>
      <c r="G634" s="475">
        <v>6253.4788699999999</v>
      </c>
      <c r="H634" s="475">
        <v>6253.4788699999999</v>
      </c>
      <c r="I634" s="471">
        <v>74.3</v>
      </c>
      <c r="J634" s="476" t="s">
        <v>10</v>
      </c>
    </row>
    <row r="635" spans="1:10" ht="51" outlineLevel="3">
      <c r="A635" s="467" t="s">
        <v>1337</v>
      </c>
      <c r="B635" s="468" t="s">
        <v>1338</v>
      </c>
      <c r="C635" s="469"/>
      <c r="D635" s="468"/>
      <c r="E635" s="470">
        <v>26595.74468</v>
      </c>
      <c r="F635" s="470">
        <v>26595.74468</v>
      </c>
      <c r="G635" s="470">
        <v>0</v>
      </c>
      <c r="H635" s="470">
        <v>0</v>
      </c>
      <c r="I635" s="471">
        <v>0</v>
      </c>
      <c r="J635" s="471"/>
    </row>
    <row r="636" spans="1:10" ht="51" outlineLevel="4">
      <c r="A636" s="472" t="s">
        <v>1337</v>
      </c>
      <c r="B636" s="473" t="s">
        <v>1338</v>
      </c>
      <c r="C636" s="474" t="s">
        <v>667</v>
      </c>
      <c r="D636" s="473" t="s">
        <v>732</v>
      </c>
      <c r="E636" s="475">
        <v>26595.74468</v>
      </c>
      <c r="F636" s="475">
        <v>26595.74468</v>
      </c>
      <c r="G636" s="475">
        <v>0</v>
      </c>
      <c r="H636" s="475">
        <v>0</v>
      </c>
      <c r="I636" s="471">
        <v>0</v>
      </c>
      <c r="J636" s="476" t="s">
        <v>10</v>
      </c>
    </row>
    <row r="637" spans="1:10" ht="76.5" outlineLevel="3">
      <c r="A637" s="467" t="s">
        <v>1339</v>
      </c>
      <c r="B637" s="468" t="s">
        <v>1340</v>
      </c>
      <c r="C637" s="469"/>
      <c r="D637" s="468"/>
      <c r="E637" s="470">
        <v>31423.599999999999</v>
      </c>
      <c r="F637" s="470">
        <v>31423.599999999999</v>
      </c>
      <c r="G637" s="470">
        <v>21467.534589999999</v>
      </c>
      <c r="H637" s="470">
        <v>20690.814590000002</v>
      </c>
      <c r="I637" s="471">
        <v>65.84</v>
      </c>
      <c r="J637" s="471"/>
    </row>
    <row r="638" spans="1:10" ht="76.5" outlineLevel="4">
      <c r="A638" s="472" t="s">
        <v>1339</v>
      </c>
      <c r="B638" s="473" t="s">
        <v>1340</v>
      </c>
      <c r="C638" s="474" t="s">
        <v>667</v>
      </c>
      <c r="D638" s="473" t="s">
        <v>732</v>
      </c>
      <c r="E638" s="475">
        <v>31423.599999999999</v>
      </c>
      <c r="F638" s="475">
        <v>31423.599999999999</v>
      </c>
      <c r="G638" s="475">
        <v>21467.534589999999</v>
      </c>
      <c r="H638" s="475">
        <v>20690.814590000002</v>
      </c>
      <c r="I638" s="471">
        <v>65.84</v>
      </c>
      <c r="J638" s="471"/>
    </row>
    <row r="639" spans="1:10" ht="25.5" outlineLevel="1">
      <c r="A639" s="457" t="s">
        <v>1341</v>
      </c>
      <c r="B639" s="458" t="s">
        <v>1342</v>
      </c>
      <c r="C639" s="459"/>
      <c r="D639" s="458"/>
      <c r="E639" s="460">
        <v>1397460.64102</v>
      </c>
      <c r="F639" s="460">
        <v>1332750.57629</v>
      </c>
      <c r="G639" s="460">
        <v>336593.31672</v>
      </c>
      <c r="H639" s="460">
        <v>297864.17632999999</v>
      </c>
      <c r="I639" s="461">
        <v>21.31</v>
      </c>
      <c r="J639" s="461"/>
    </row>
    <row r="640" spans="1:10" ht="51" outlineLevel="2">
      <c r="A640" s="462" t="s">
        <v>1343</v>
      </c>
      <c r="B640" s="463" t="s">
        <v>1344</v>
      </c>
      <c r="C640" s="464"/>
      <c r="D640" s="463"/>
      <c r="E640" s="465">
        <v>341668.62689999997</v>
      </c>
      <c r="F640" s="465">
        <v>313659.76189999998</v>
      </c>
      <c r="G640" s="465">
        <v>23131.08365</v>
      </c>
      <c r="H640" s="465">
        <v>20622.847969999999</v>
      </c>
      <c r="I640" s="466">
        <v>6.04</v>
      </c>
      <c r="J640" s="466"/>
    </row>
    <row r="641" spans="1:10" ht="51" outlineLevel="3">
      <c r="A641" s="467" t="s">
        <v>816</v>
      </c>
      <c r="B641" s="468" t="s">
        <v>1345</v>
      </c>
      <c r="C641" s="469"/>
      <c r="D641" s="468"/>
      <c r="E641" s="470">
        <v>74096.635420000006</v>
      </c>
      <c r="F641" s="470">
        <v>54096.635419999999</v>
      </c>
      <c r="G641" s="470">
        <v>17659.802169999999</v>
      </c>
      <c r="H641" s="470">
        <v>15151.566489999999</v>
      </c>
      <c r="I641" s="471">
        <v>20.45</v>
      </c>
      <c r="J641" s="471"/>
    </row>
    <row r="642" spans="1:10" ht="51" outlineLevel="4">
      <c r="A642" s="472" t="s">
        <v>816</v>
      </c>
      <c r="B642" s="473" t="s">
        <v>1345</v>
      </c>
      <c r="C642" s="474" t="s">
        <v>818</v>
      </c>
      <c r="D642" s="473" t="s">
        <v>819</v>
      </c>
      <c r="E642" s="475">
        <v>74096.635420000006</v>
      </c>
      <c r="F642" s="475">
        <v>54096.635419999999</v>
      </c>
      <c r="G642" s="475">
        <v>17659.802169999999</v>
      </c>
      <c r="H642" s="475">
        <v>15151.566489999999</v>
      </c>
      <c r="I642" s="471">
        <v>20.45</v>
      </c>
      <c r="J642" s="471"/>
    </row>
    <row r="643" spans="1:10" ht="38.25" outlineLevel="3">
      <c r="A643" s="467" t="s">
        <v>997</v>
      </c>
      <c r="B643" s="468" t="s">
        <v>1346</v>
      </c>
      <c r="C643" s="469"/>
      <c r="D643" s="468"/>
      <c r="E643" s="470">
        <v>25076.046480000001</v>
      </c>
      <c r="F643" s="470">
        <v>17067.181479999999</v>
      </c>
      <c r="G643" s="470">
        <v>5471.2814799999996</v>
      </c>
      <c r="H643" s="470">
        <v>5471.2814799999996</v>
      </c>
      <c r="I643" s="471">
        <v>21.82</v>
      </c>
      <c r="J643" s="471"/>
    </row>
    <row r="644" spans="1:10" ht="38.25" outlineLevel="4">
      <c r="A644" s="472" t="s">
        <v>997</v>
      </c>
      <c r="B644" s="473" t="s">
        <v>1346</v>
      </c>
      <c r="C644" s="474" t="s">
        <v>818</v>
      </c>
      <c r="D644" s="473" t="s">
        <v>819</v>
      </c>
      <c r="E644" s="475">
        <v>25076.046480000001</v>
      </c>
      <c r="F644" s="475">
        <v>17067.181479999999</v>
      </c>
      <c r="G644" s="475">
        <v>5471.2814799999996</v>
      </c>
      <c r="H644" s="475">
        <v>5471.2814799999996</v>
      </c>
      <c r="I644" s="471">
        <v>21.82</v>
      </c>
      <c r="J644" s="471"/>
    </row>
    <row r="645" spans="1:10" ht="38.25" outlineLevel="3">
      <c r="A645" s="467" t="s">
        <v>1347</v>
      </c>
      <c r="B645" s="468" t="s">
        <v>1348</v>
      </c>
      <c r="C645" s="469"/>
      <c r="D645" s="468"/>
      <c r="E645" s="470">
        <v>242495.94500000001</v>
      </c>
      <c r="F645" s="470">
        <v>242495.94500000001</v>
      </c>
      <c r="G645" s="470">
        <v>0</v>
      </c>
      <c r="H645" s="470">
        <v>0</v>
      </c>
      <c r="I645" s="471">
        <v>0</v>
      </c>
      <c r="J645" s="471"/>
    </row>
    <row r="646" spans="1:10" ht="38.25" outlineLevel="4">
      <c r="A646" s="472" t="s">
        <v>1347</v>
      </c>
      <c r="B646" s="473" t="s">
        <v>1348</v>
      </c>
      <c r="C646" s="474" t="s">
        <v>818</v>
      </c>
      <c r="D646" s="473" t="s">
        <v>819</v>
      </c>
      <c r="E646" s="475">
        <v>242495.94500000001</v>
      </c>
      <c r="F646" s="475">
        <v>242495.94500000001</v>
      </c>
      <c r="G646" s="475">
        <v>0</v>
      </c>
      <c r="H646" s="475">
        <v>0</v>
      </c>
      <c r="I646" s="471">
        <v>0</v>
      </c>
      <c r="J646" s="471"/>
    </row>
    <row r="647" spans="1:10" ht="63.75" outlineLevel="2">
      <c r="A647" s="462" t="s">
        <v>1349</v>
      </c>
      <c r="B647" s="463" t="s">
        <v>1350</v>
      </c>
      <c r="C647" s="464"/>
      <c r="D647" s="463"/>
      <c r="E647" s="465">
        <v>186346.55752</v>
      </c>
      <c r="F647" s="465">
        <v>149645.35779000001</v>
      </c>
      <c r="G647" s="465">
        <v>12629.695820000001</v>
      </c>
      <c r="H647" s="465">
        <v>7853.9370699999999</v>
      </c>
      <c r="I647" s="466">
        <v>4.21</v>
      </c>
      <c r="J647" s="466"/>
    </row>
    <row r="648" spans="1:10" ht="76.5" outlineLevel="3">
      <c r="A648" s="467" t="s">
        <v>717</v>
      </c>
      <c r="B648" s="468" t="s">
        <v>1351</v>
      </c>
      <c r="C648" s="469"/>
      <c r="D648" s="468"/>
      <c r="E648" s="470">
        <v>14240.052799999999</v>
      </c>
      <c r="F648" s="470">
        <v>7915.0530699999999</v>
      </c>
      <c r="G648" s="470">
        <v>4435.7070700000004</v>
      </c>
      <c r="H648" s="470">
        <v>4335.5170699999999</v>
      </c>
      <c r="I648" s="471">
        <v>30.45</v>
      </c>
      <c r="J648" s="471"/>
    </row>
    <row r="649" spans="1:10" ht="76.5" outlineLevel="4">
      <c r="A649" s="472" t="s">
        <v>717</v>
      </c>
      <c r="B649" s="473" t="s">
        <v>1351</v>
      </c>
      <c r="C649" s="474" t="s">
        <v>667</v>
      </c>
      <c r="D649" s="473" t="s">
        <v>732</v>
      </c>
      <c r="E649" s="475">
        <v>14240.052799999999</v>
      </c>
      <c r="F649" s="475">
        <v>7915.0530699999999</v>
      </c>
      <c r="G649" s="475">
        <v>4435.7070700000004</v>
      </c>
      <c r="H649" s="475">
        <v>4335.5170699999999</v>
      </c>
      <c r="I649" s="471">
        <v>30.45</v>
      </c>
      <c r="J649" s="471"/>
    </row>
    <row r="650" spans="1:10" ht="25.5" outlineLevel="3">
      <c r="A650" s="467" t="s">
        <v>721</v>
      </c>
      <c r="B650" s="468" t="s">
        <v>1352</v>
      </c>
      <c r="C650" s="469"/>
      <c r="D650" s="468"/>
      <c r="E650" s="470">
        <v>6000</v>
      </c>
      <c r="F650" s="470">
        <v>6000</v>
      </c>
      <c r="G650" s="470">
        <v>0</v>
      </c>
      <c r="H650" s="470">
        <v>0</v>
      </c>
      <c r="I650" s="471">
        <v>0</v>
      </c>
      <c r="J650" s="471"/>
    </row>
    <row r="651" spans="1:10" ht="25.5" outlineLevel="4">
      <c r="A651" s="472" t="s">
        <v>721</v>
      </c>
      <c r="B651" s="473" t="s">
        <v>1352</v>
      </c>
      <c r="C651" s="474" t="s">
        <v>667</v>
      </c>
      <c r="D651" s="473" t="s">
        <v>732</v>
      </c>
      <c r="E651" s="475">
        <v>6000</v>
      </c>
      <c r="F651" s="475">
        <v>6000</v>
      </c>
      <c r="G651" s="475">
        <v>0</v>
      </c>
      <c r="H651" s="475">
        <v>0</v>
      </c>
      <c r="I651" s="471">
        <v>0</v>
      </c>
      <c r="J651" s="471"/>
    </row>
    <row r="652" spans="1:10" ht="51" outlineLevel="3">
      <c r="A652" s="467" t="s">
        <v>1353</v>
      </c>
      <c r="B652" s="468" t="s">
        <v>1354</v>
      </c>
      <c r="C652" s="469"/>
      <c r="D652" s="468"/>
      <c r="E652" s="470">
        <v>166106.50472</v>
      </c>
      <c r="F652" s="470">
        <v>135730.30471999999</v>
      </c>
      <c r="G652" s="470">
        <v>8193.9887500000004</v>
      </c>
      <c r="H652" s="470">
        <v>3518.42</v>
      </c>
      <c r="I652" s="471">
        <v>2.12</v>
      </c>
      <c r="J652" s="471"/>
    </row>
    <row r="653" spans="1:10" ht="51" outlineLevel="4">
      <c r="A653" s="472" t="s">
        <v>1353</v>
      </c>
      <c r="B653" s="473" t="s">
        <v>1354</v>
      </c>
      <c r="C653" s="474" t="s">
        <v>667</v>
      </c>
      <c r="D653" s="473" t="s">
        <v>732</v>
      </c>
      <c r="E653" s="475">
        <v>13638.696239999999</v>
      </c>
      <c r="F653" s="475">
        <v>13638.696239999999</v>
      </c>
      <c r="G653" s="475">
        <v>0</v>
      </c>
      <c r="H653" s="475">
        <v>0</v>
      </c>
      <c r="I653" s="471">
        <v>0</v>
      </c>
      <c r="J653" s="471"/>
    </row>
    <row r="654" spans="1:10" ht="51" outlineLevel="4">
      <c r="A654" s="472" t="s">
        <v>1353</v>
      </c>
      <c r="B654" s="473" t="s">
        <v>1354</v>
      </c>
      <c r="C654" s="474" t="s">
        <v>818</v>
      </c>
      <c r="D654" s="473" t="s">
        <v>819</v>
      </c>
      <c r="E654" s="475">
        <v>152467.80848000001</v>
      </c>
      <c r="F654" s="475">
        <v>122091.60848</v>
      </c>
      <c r="G654" s="475">
        <v>8193.9887500000004</v>
      </c>
      <c r="H654" s="475">
        <v>3518.42</v>
      </c>
      <c r="I654" s="471">
        <v>2.31</v>
      </c>
      <c r="J654" s="471"/>
    </row>
    <row r="655" spans="1:10" ht="25.5" outlineLevel="2">
      <c r="A655" s="462" t="s">
        <v>1311</v>
      </c>
      <c r="B655" s="463" t="s">
        <v>1355</v>
      </c>
      <c r="C655" s="464"/>
      <c r="D655" s="463"/>
      <c r="E655" s="465">
        <v>869445.45660000003</v>
      </c>
      <c r="F655" s="465">
        <v>869445.45660000003</v>
      </c>
      <c r="G655" s="465">
        <v>300832.53724999999</v>
      </c>
      <c r="H655" s="465">
        <v>269387.39129</v>
      </c>
      <c r="I655" s="466">
        <v>30.98</v>
      </c>
      <c r="J655" s="466"/>
    </row>
    <row r="656" spans="1:10" ht="25.5" outlineLevel="3">
      <c r="A656" s="467" t="s">
        <v>728</v>
      </c>
      <c r="B656" s="468" t="s">
        <v>1356</v>
      </c>
      <c r="C656" s="469"/>
      <c r="D656" s="468"/>
      <c r="E656" s="470">
        <v>4050</v>
      </c>
      <c r="F656" s="470">
        <v>4050</v>
      </c>
      <c r="G656" s="470">
        <v>0</v>
      </c>
      <c r="H656" s="470">
        <v>0</v>
      </c>
      <c r="I656" s="471">
        <v>0</v>
      </c>
      <c r="J656" s="471"/>
    </row>
    <row r="657" spans="1:10" ht="25.5" outlineLevel="4">
      <c r="A657" s="472" t="s">
        <v>728</v>
      </c>
      <c r="B657" s="473" t="s">
        <v>1356</v>
      </c>
      <c r="C657" s="474" t="s">
        <v>667</v>
      </c>
      <c r="D657" s="473" t="s">
        <v>732</v>
      </c>
      <c r="E657" s="475">
        <v>4050</v>
      </c>
      <c r="F657" s="475">
        <v>4050</v>
      </c>
      <c r="G657" s="475">
        <v>0</v>
      </c>
      <c r="H657" s="475">
        <v>0</v>
      </c>
      <c r="I657" s="471">
        <v>0</v>
      </c>
      <c r="J657" s="471"/>
    </row>
    <row r="658" spans="1:10" ht="38.25" outlineLevel="3">
      <c r="A658" s="467" t="s">
        <v>1316</v>
      </c>
      <c r="B658" s="468" t="s">
        <v>1357</v>
      </c>
      <c r="C658" s="469"/>
      <c r="D658" s="468"/>
      <c r="E658" s="470">
        <v>819090.48010000004</v>
      </c>
      <c r="F658" s="470">
        <v>819090.48010000004</v>
      </c>
      <c r="G658" s="470">
        <v>300832.53724999999</v>
      </c>
      <c r="H658" s="470">
        <v>269387.39129</v>
      </c>
      <c r="I658" s="471">
        <v>32.89</v>
      </c>
      <c r="J658" s="471"/>
    </row>
    <row r="659" spans="1:10" ht="38.25" outlineLevel="4">
      <c r="A659" s="472" t="s">
        <v>1316</v>
      </c>
      <c r="B659" s="473" t="s">
        <v>1357</v>
      </c>
      <c r="C659" s="474" t="s">
        <v>818</v>
      </c>
      <c r="D659" s="473" t="s">
        <v>819</v>
      </c>
      <c r="E659" s="475">
        <v>819090.48010000004</v>
      </c>
      <c r="F659" s="475">
        <v>819090.48010000004</v>
      </c>
      <c r="G659" s="475">
        <v>300832.53724999999</v>
      </c>
      <c r="H659" s="475">
        <v>269387.39129</v>
      </c>
      <c r="I659" s="471">
        <v>32.89</v>
      </c>
      <c r="J659" s="476" t="s">
        <v>10</v>
      </c>
    </row>
    <row r="660" spans="1:10" ht="51" outlineLevel="3">
      <c r="A660" s="467" t="s">
        <v>1353</v>
      </c>
      <c r="B660" s="468" t="s">
        <v>1358</v>
      </c>
      <c r="C660" s="469"/>
      <c r="D660" s="468"/>
      <c r="E660" s="470">
        <v>25000</v>
      </c>
      <c r="F660" s="470">
        <v>25000</v>
      </c>
      <c r="G660" s="470">
        <v>0</v>
      </c>
      <c r="H660" s="470">
        <v>0</v>
      </c>
      <c r="I660" s="471">
        <v>0</v>
      </c>
      <c r="J660" s="471"/>
    </row>
    <row r="661" spans="1:10" ht="51" outlineLevel="4">
      <c r="A661" s="472" t="s">
        <v>1353</v>
      </c>
      <c r="B661" s="473" t="s">
        <v>1358</v>
      </c>
      <c r="C661" s="474" t="s">
        <v>667</v>
      </c>
      <c r="D661" s="473" t="s">
        <v>732</v>
      </c>
      <c r="E661" s="475">
        <v>25000</v>
      </c>
      <c r="F661" s="475">
        <v>25000</v>
      </c>
      <c r="G661" s="475">
        <v>0</v>
      </c>
      <c r="H661" s="475">
        <v>0</v>
      </c>
      <c r="I661" s="471">
        <v>0</v>
      </c>
      <c r="J661" s="471"/>
    </row>
    <row r="662" spans="1:10" ht="38.25" outlineLevel="3">
      <c r="A662" s="467" t="s">
        <v>997</v>
      </c>
      <c r="B662" s="468" t="s">
        <v>1359</v>
      </c>
      <c r="C662" s="469"/>
      <c r="D662" s="468"/>
      <c r="E662" s="470">
        <v>21304.976500000001</v>
      </c>
      <c r="F662" s="470">
        <v>21304.976500000001</v>
      </c>
      <c r="G662" s="470">
        <v>0</v>
      </c>
      <c r="H662" s="470">
        <v>0</v>
      </c>
      <c r="I662" s="471">
        <v>0</v>
      </c>
      <c r="J662" s="471"/>
    </row>
    <row r="663" spans="1:10" ht="38.25" outlineLevel="4">
      <c r="A663" s="472" t="s">
        <v>997</v>
      </c>
      <c r="B663" s="473" t="s">
        <v>1359</v>
      </c>
      <c r="C663" s="474" t="s">
        <v>818</v>
      </c>
      <c r="D663" s="473" t="s">
        <v>819</v>
      </c>
      <c r="E663" s="475">
        <v>21304.976500000001</v>
      </c>
      <c r="F663" s="475">
        <v>21304.976500000001</v>
      </c>
      <c r="G663" s="475">
        <v>0</v>
      </c>
      <c r="H663" s="475">
        <v>0</v>
      </c>
      <c r="I663" s="471">
        <v>0</v>
      </c>
      <c r="J663" s="471"/>
    </row>
    <row r="664" spans="1:10" ht="38.25" outlineLevel="1">
      <c r="A664" s="457" t="s">
        <v>1034</v>
      </c>
      <c r="B664" s="458" t="s">
        <v>1360</v>
      </c>
      <c r="C664" s="459"/>
      <c r="D664" s="458"/>
      <c r="E664" s="460">
        <v>46807.391049999998</v>
      </c>
      <c r="F664" s="460">
        <v>46807.391049999998</v>
      </c>
      <c r="G664" s="460">
        <v>20986.40552</v>
      </c>
      <c r="H664" s="460">
        <v>19675.067849999999</v>
      </c>
      <c r="I664" s="461">
        <v>42.03</v>
      </c>
      <c r="J664" s="461"/>
    </row>
    <row r="665" spans="1:10" ht="51" outlineLevel="2">
      <c r="A665" s="462" t="s">
        <v>1361</v>
      </c>
      <c r="B665" s="463" t="s">
        <v>1362</v>
      </c>
      <c r="C665" s="464"/>
      <c r="D665" s="463"/>
      <c r="E665" s="465">
        <v>46807.391049999998</v>
      </c>
      <c r="F665" s="465">
        <v>46807.391049999998</v>
      </c>
      <c r="G665" s="465">
        <v>20986.40552</v>
      </c>
      <c r="H665" s="465">
        <v>19675.067849999999</v>
      </c>
      <c r="I665" s="466">
        <v>42.03</v>
      </c>
      <c r="J665" s="466"/>
    </row>
    <row r="666" spans="1:10" ht="25.5" outlineLevel="3">
      <c r="A666" s="467" t="s">
        <v>888</v>
      </c>
      <c r="B666" s="468" t="s">
        <v>1363</v>
      </c>
      <c r="C666" s="469"/>
      <c r="D666" s="468"/>
      <c r="E666" s="470">
        <v>42378.923860000003</v>
      </c>
      <c r="F666" s="470">
        <v>42378.923860000003</v>
      </c>
      <c r="G666" s="470">
        <v>19150</v>
      </c>
      <c r="H666" s="470">
        <v>18398.699670000002</v>
      </c>
      <c r="I666" s="471">
        <v>43.41</v>
      </c>
      <c r="J666" s="471"/>
    </row>
    <row r="667" spans="1:10" ht="25.5" outlineLevel="4">
      <c r="A667" s="472" t="s">
        <v>888</v>
      </c>
      <c r="B667" s="473" t="s">
        <v>1363</v>
      </c>
      <c r="C667" s="474" t="s">
        <v>667</v>
      </c>
      <c r="D667" s="473" t="s">
        <v>732</v>
      </c>
      <c r="E667" s="475">
        <v>42378.923860000003</v>
      </c>
      <c r="F667" s="475">
        <v>42378.923860000003</v>
      </c>
      <c r="G667" s="475">
        <v>19150</v>
      </c>
      <c r="H667" s="475">
        <v>18398.699670000002</v>
      </c>
      <c r="I667" s="471">
        <v>43.41</v>
      </c>
      <c r="J667" s="471"/>
    </row>
    <row r="668" spans="1:10" ht="38.25" outlineLevel="3">
      <c r="A668" s="467" t="s">
        <v>869</v>
      </c>
      <c r="B668" s="468" t="s">
        <v>1364</v>
      </c>
      <c r="C668" s="469"/>
      <c r="D668" s="468"/>
      <c r="E668" s="470">
        <v>4050.1671900000001</v>
      </c>
      <c r="F668" s="470">
        <v>4050.1671900000001</v>
      </c>
      <c r="G668" s="470">
        <v>1836.40552</v>
      </c>
      <c r="H668" s="470">
        <v>1276.3681799999999</v>
      </c>
      <c r="I668" s="471">
        <v>31.51</v>
      </c>
      <c r="J668" s="471"/>
    </row>
    <row r="669" spans="1:10" ht="38.25" outlineLevel="4">
      <c r="A669" s="472" t="s">
        <v>869</v>
      </c>
      <c r="B669" s="473" t="s">
        <v>1364</v>
      </c>
      <c r="C669" s="474" t="s">
        <v>667</v>
      </c>
      <c r="D669" s="473" t="s">
        <v>732</v>
      </c>
      <c r="E669" s="475">
        <v>4050.1671900000001</v>
      </c>
      <c r="F669" s="475">
        <v>4050.1671900000001</v>
      </c>
      <c r="G669" s="475">
        <v>1836.40552</v>
      </c>
      <c r="H669" s="475">
        <v>1276.3681799999999</v>
      </c>
      <c r="I669" s="471">
        <v>31.51</v>
      </c>
      <c r="J669" s="471"/>
    </row>
    <row r="670" spans="1:10" ht="63.75" outlineLevel="3">
      <c r="A670" s="467" t="s">
        <v>62</v>
      </c>
      <c r="B670" s="468" t="s">
        <v>1365</v>
      </c>
      <c r="C670" s="469"/>
      <c r="D670" s="468"/>
      <c r="E670" s="470">
        <v>378.3</v>
      </c>
      <c r="F670" s="470">
        <v>378.3</v>
      </c>
      <c r="G670" s="470">
        <v>0</v>
      </c>
      <c r="H670" s="470">
        <v>0</v>
      </c>
      <c r="I670" s="471">
        <v>0</v>
      </c>
      <c r="J670" s="471"/>
    </row>
    <row r="671" spans="1:10" ht="63.75" outlineLevel="4">
      <c r="A671" s="472" t="s">
        <v>62</v>
      </c>
      <c r="B671" s="473" t="s">
        <v>1365</v>
      </c>
      <c r="C671" s="474" t="s">
        <v>667</v>
      </c>
      <c r="D671" s="473" t="s">
        <v>732</v>
      </c>
      <c r="E671" s="475">
        <v>378.3</v>
      </c>
      <c r="F671" s="475">
        <v>378.3</v>
      </c>
      <c r="G671" s="475">
        <v>0</v>
      </c>
      <c r="H671" s="475">
        <v>0</v>
      </c>
      <c r="I671" s="471">
        <v>0</v>
      </c>
      <c r="J671" s="471"/>
    </row>
    <row r="672" spans="1:10" ht="45.75" thickBot="1">
      <c r="A672" s="452" t="s">
        <v>1366</v>
      </c>
      <c r="B672" s="453" t="s">
        <v>1367</v>
      </c>
      <c r="C672" s="454"/>
      <c r="D672" s="453"/>
      <c r="E672" s="455">
        <v>2100095.93249</v>
      </c>
      <c r="F672" s="455">
        <v>1857430.66704</v>
      </c>
      <c r="G672" s="455">
        <v>653918.72216999996</v>
      </c>
      <c r="H672" s="455">
        <v>587480.33854999999</v>
      </c>
      <c r="I672" s="456">
        <v>27.97</v>
      </c>
      <c r="J672" s="456"/>
    </row>
    <row r="673" spans="1:10" outlineLevel="1">
      <c r="A673" s="457" t="s">
        <v>1368</v>
      </c>
      <c r="B673" s="458" t="s">
        <v>1369</v>
      </c>
      <c r="C673" s="459"/>
      <c r="D673" s="458"/>
      <c r="E673" s="460">
        <v>609204.91293999995</v>
      </c>
      <c r="F673" s="460">
        <v>605536.35017999995</v>
      </c>
      <c r="G673" s="460">
        <v>229893.82821000001</v>
      </c>
      <c r="H673" s="460">
        <v>223812.26845999999</v>
      </c>
      <c r="I673" s="461">
        <v>36.74</v>
      </c>
      <c r="J673" s="461"/>
    </row>
    <row r="674" spans="1:10" ht="38.25" outlineLevel="2">
      <c r="A674" s="462" t="s">
        <v>1370</v>
      </c>
      <c r="B674" s="463" t="s">
        <v>1371</v>
      </c>
      <c r="C674" s="464"/>
      <c r="D674" s="463"/>
      <c r="E674" s="465">
        <v>205903.77499999999</v>
      </c>
      <c r="F674" s="465">
        <v>204903.77499999999</v>
      </c>
      <c r="G674" s="465">
        <v>102580.02800000001</v>
      </c>
      <c r="H674" s="465">
        <v>102580.02800000001</v>
      </c>
      <c r="I674" s="466">
        <v>49.82</v>
      </c>
      <c r="J674" s="466"/>
    </row>
    <row r="675" spans="1:10" ht="76.5" outlineLevel="3">
      <c r="A675" s="467" t="s">
        <v>717</v>
      </c>
      <c r="B675" s="468" t="s">
        <v>1372</v>
      </c>
      <c r="C675" s="469"/>
      <c r="D675" s="468"/>
      <c r="E675" s="470">
        <v>205903.77499999999</v>
      </c>
      <c r="F675" s="470">
        <v>204903.77499999999</v>
      </c>
      <c r="G675" s="470">
        <v>102580.02800000001</v>
      </c>
      <c r="H675" s="470">
        <v>102580.02800000001</v>
      </c>
      <c r="I675" s="471">
        <v>49.82</v>
      </c>
      <c r="J675" s="471"/>
    </row>
    <row r="676" spans="1:10" ht="76.5" outlineLevel="4">
      <c r="A676" s="472" t="s">
        <v>717</v>
      </c>
      <c r="B676" s="473" t="s">
        <v>1372</v>
      </c>
      <c r="C676" s="474" t="s">
        <v>911</v>
      </c>
      <c r="D676" s="473" t="s">
        <v>912</v>
      </c>
      <c r="E676" s="475">
        <v>205903.77499999999</v>
      </c>
      <c r="F676" s="475">
        <v>204903.77499999999</v>
      </c>
      <c r="G676" s="475">
        <v>102580.02800000001</v>
      </c>
      <c r="H676" s="475">
        <v>102580.02800000001</v>
      </c>
      <c r="I676" s="471">
        <v>49.82</v>
      </c>
      <c r="J676" s="471"/>
    </row>
    <row r="677" spans="1:10" ht="51" outlineLevel="2">
      <c r="A677" s="462" t="s">
        <v>1373</v>
      </c>
      <c r="B677" s="463" t="s">
        <v>1374</v>
      </c>
      <c r="C677" s="464"/>
      <c r="D677" s="463"/>
      <c r="E677" s="465">
        <v>14434.37</v>
      </c>
      <c r="F677" s="465">
        <v>14434.37</v>
      </c>
      <c r="G677" s="465">
        <v>5066.4920000000002</v>
      </c>
      <c r="H677" s="465">
        <v>5066.4920000000002</v>
      </c>
      <c r="I677" s="466">
        <v>35.1</v>
      </c>
      <c r="J677" s="466"/>
    </row>
    <row r="678" spans="1:10" ht="76.5" outlineLevel="3">
      <c r="A678" s="467" t="s">
        <v>717</v>
      </c>
      <c r="B678" s="468" t="s">
        <v>1375</v>
      </c>
      <c r="C678" s="469"/>
      <c r="D678" s="468"/>
      <c r="E678" s="470">
        <v>13478.87</v>
      </c>
      <c r="F678" s="470">
        <v>13478.87</v>
      </c>
      <c r="G678" s="470">
        <v>5066.4920000000002</v>
      </c>
      <c r="H678" s="470">
        <v>5066.4920000000002</v>
      </c>
      <c r="I678" s="471">
        <v>37.590000000000003</v>
      </c>
      <c r="J678" s="471"/>
    </row>
    <row r="679" spans="1:10" ht="76.5" outlineLevel="4">
      <c r="A679" s="472" t="s">
        <v>717</v>
      </c>
      <c r="B679" s="473" t="s">
        <v>1375</v>
      </c>
      <c r="C679" s="474" t="s">
        <v>911</v>
      </c>
      <c r="D679" s="473" t="s">
        <v>912</v>
      </c>
      <c r="E679" s="475">
        <v>13478.87</v>
      </c>
      <c r="F679" s="475">
        <v>13478.87</v>
      </c>
      <c r="G679" s="475">
        <v>5066.4920000000002</v>
      </c>
      <c r="H679" s="475">
        <v>5066.4920000000002</v>
      </c>
      <c r="I679" s="471">
        <v>37.590000000000003</v>
      </c>
      <c r="J679" s="471"/>
    </row>
    <row r="680" spans="1:10" ht="51" outlineLevel="3">
      <c r="A680" s="467" t="s">
        <v>816</v>
      </c>
      <c r="B680" s="468" t="s">
        <v>1376</v>
      </c>
      <c r="C680" s="469"/>
      <c r="D680" s="468"/>
      <c r="E680" s="470">
        <v>955.5</v>
      </c>
      <c r="F680" s="470">
        <v>955.5</v>
      </c>
      <c r="G680" s="470">
        <v>0</v>
      </c>
      <c r="H680" s="470">
        <v>0</v>
      </c>
      <c r="I680" s="471">
        <v>0</v>
      </c>
      <c r="J680" s="471"/>
    </row>
    <row r="681" spans="1:10" ht="51" outlineLevel="4">
      <c r="A681" s="472" t="s">
        <v>816</v>
      </c>
      <c r="B681" s="473" t="s">
        <v>1376</v>
      </c>
      <c r="C681" s="474" t="s">
        <v>818</v>
      </c>
      <c r="D681" s="473" t="s">
        <v>819</v>
      </c>
      <c r="E681" s="475">
        <v>955.5</v>
      </c>
      <c r="F681" s="475">
        <v>955.5</v>
      </c>
      <c r="G681" s="475">
        <v>0</v>
      </c>
      <c r="H681" s="475">
        <v>0</v>
      </c>
      <c r="I681" s="471">
        <v>0</v>
      </c>
      <c r="J681" s="471"/>
    </row>
    <row r="682" spans="1:10" ht="25.5" outlineLevel="2">
      <c r="A682" s="462" t="s">
        <v>1377</v>
      </c>
      <c r="B682" s="463" t="s">
        <v>1378</v>
      </c>
      <c r="C682" s="464"/>
      <c r="D682" s="463"/>
      <c r="E682" s="465">
        <v>155622.88412999999</v>
      </c>
      <c r="F682" s="465">
        <v>152954.32136999999</v>
      </c>
      <c r="G682" s="465">
        <v>72973.26496</v>
      </c>
      <c r="H682" s="465">
        <v>72973.26496</v>
      </c>
      <c r="I682" s="466">
        <v>46.89</v>
      </c>
      <c r="J682" s="466"/>
    </row>
    <row r="683" spans="1:10" ht="76.5" outlineLevel="3">
      <c r="A683" s="467" t="s">
        <v>717</v>
      </c>
      <c r="B683" s="468" t="s">
        <v>1379</v>
      </c>
      <c r="C683" s="469"/>
      <c r="D683" s="468"/>
      <c r="E683" s="470">
        <v>155444.334</v>
      </c>
      <c r="F683" s="470">
        <v>152808.43400000001</v>
      </c>
      <c r="G683" s="470">
        <v>72918.365000000005</v>
      </c>
      <c r="H683" s="470">
        <v>72918.365000000005</v>
      </c>
      <c r="I683" s="471">
        <v>46.91</v>
      </c>
      <c r="J683" s="471"/>
    </row>
    <row r="684" spans="1:10" ht="76.5" outlineLevel="4">
      <c r="A684" s="472" t="s">
        <v>717</v>
      </c>
      <c r="B684" s="473" t="s">
        <v>1379</v>
      </c>
      <c r="C684" s="474" t="s">
        <v>911</v>
      </c>
      <c r="D684" s="473" t="s">
        <v>912</v>
      </c>
      <c r="E684" s="475">
        <v>155444.334</v>
      </c>
      <c r="F684" s="475">
        <v>152808.43400000001</v>
      </c>
      <c r="G684" s="475">
        <v>72918.365000000005</v>
      </c>
      <c r="H684" s="475">
        <v>72918.365000000005</v>
      </c>
      <c r="I684" s="471">
        <v>46.91</v>
      </c>
      <c r="J684" s="471"/>
    </row>
    <row r="685" spans="1:10" ht="140.25" outlineLevel="3">
      <c r="A685" s="467" t="s">
        <v>857</v>
      </c>
      <c r="B685" s="468" t="s">
        <v>1380</v>
      </c>
      <c r="C685" s="469"/>
      <c r="D685" s="468"/>
      <c r="E685" s="470">
        <v>178.55013</v>
      </c>
      <c r="F685" s="470">
        <v>145.88737</v>
      </c>
      <c r="G685" s="470">
        <v>54.89996</v>
      </c>
      <c r="H685" s="470">
        <v>54.89996</v>
      </c>
      <c r="I685" s="471">
        <v>30.75</v>
      </c>
      <c r="J685" s="471"/>
    </row>
    <row r="686" spans="1:10" ht="140.25" outlineLevel="4">
      <c r="A686" s="472" t="s">
        <v>857</v>
      </c>
      <c r="B686" s="473" t="s">
        <v>1380</v>
      </c>
      <c r="C686" s="474" t="s">
        <v>911</v>
      </c>
      <c r="D686" s="473" t="s">
        <v>912</v>
      </c>
      <c r="E686" s="475">
        <v>178.55013</v>
      </c>
      <c r="F686" s="475">
        <v>145.88737</v>
      </c>
      <c r="G686" s="475">
        <v>54.89996</v>
      </c>
      <c r="H686" s="475">
        <v>54.89996</v>
      </c>
      <c r="I686" s="471">
        <v>30.75</v>
      </c>
      <c r="J686" s="471"/>
    </row>
    <row r="687" spans="1:10" ht="51" outlineLevel="2">
      <c r="A687" s="462" t="s">
        <v>1381</v>
      </c>
      <c r="B687" s="463" t="s">
        <v>1382</v>
      </c>
      <c r="C687" s="464"/>
      <c r="D687" s="463"/>
      <c r="E687" s="465">
        <v>133269.97</v>
      </c>
      <c r="F687" s="465">
        <v>133269.97</v>
      </c>
      <c r="G687" s="465">
        <v>3351.62</v>
      </c>
      <c r="H687" s="465">
        <v>2891.9487399999998</v>
      </c>
      <c r="I687" s="466">
        <v>2.17</v>
      </c>
      <c r="J687" s="466"/>
    </row>
    <row r="688" spans="1:10" ht="76.5" outlineLevel="3">
      <c r="A688" s="467" t="s">
        <v>717</v>
      </c>
      <c r="B688" s="468" t="s">
        <v>1383</v>
      </c>
      <c r="C688" s="469"/>
      <c r="D688" s="468"/>
      <c r="E688" s="470">
        <v>11047.02</v>
      </c>
      <c r="F688" s="470">
        <v>11047.02</v>
      </c>
      <c r="G688" s="470">
        <v>589.62</v>
      </c>
      <c r="H688" s="470">
        <v>589.62</v>
      </c>
      <c r="I688" s="471">
        <v>5.34</v>
      </c>
      <c r="J688" s="471"/>
    </row>
    <row r="689" spans="1:10" ht="76.5" outlineLevel="4">
      <c r="A689" s="472" t="s">
        <v>717</v>
      </c>
      <c r="B689" s="473" t="s">
        <v>1383</v>
      </c>
      <c r="C689" s="474" t="s">
        <v>911</v>
      </c>
      <c r="D689" s="473" t="s">
        <v>912</v>
      </c>
      <c r="E689" s="475">
        <v>11047.02</v>
      </c>
      <c r="F689" s="475">
        <v>11047.02</v>
      </c>
      <c r="G689" s="475">
        <v>589.62</v>
      </c>
      <c r="H689" s="475">
        <v>589.62</v>
      </c>
      <c r="I689" s="471">
        <v>5.34</v>
      </c>
      <c r="J689" s="471"/>
    </row>
    <row r="690" spans="1:10" ht="25.5" outlineLevel="3">
      <c r="A690" s="467" t="s">
        <v>728</v>
      </c>
      <c r="B690" s="468" t="s">
        <v>1384</v>
      </c>
      <c r="C690" s="469"/>
      <c r="D690" s="468"/>
      <c r="E690" s="470">
        <v>12862.85</v>
      </c>
      <c r="F690" s="470">
        <v>12862.85</v>
      </c>
      <c r="G690" s="470">
        <v>2642</v>
      </c>
      <c r="H690" s="470">
        <v>2302.3287399999999</v>
      </c>
      <c r="I690" s="471">
        <v>17.899999999999999</v>
      </c>
      <c r="J690" s="471"/>
    </row>
    <row r="691" spans="1:10" ht="25.5" outlineLevel="4">
      <c r="A691" s="472" t="s">
        <v>728</v>
      </c>
      <c r="B691" s="473" t="s">
        <v>1384</v>
      </c>
      <c r="C691" s="474" t="s">
        <v>818</v>
      </c>
      <c r="D691" s="473" t="s">
        <v>819</v>
      </c>
      <c r="E691" s="475">
        <v>12862.85</v>
      </c>
      <c r="F691" s="475">
        <v>12862.85</v>
      </c>
      <c r="G691" s="475">
        <v>2642</v>
      </c>
      <c r="H691" s="475">
        <v>2302.3287399999999</v>
      </c>
      <c r="I691" s="471">
        <v>17.899999999999999</v>
      </c>
      <c r="J691" s="471"/>
    </row>
    <row r="692" spans="1:10" ht="38.25" outlineLevel="3">
      <c r="A692" s="467" t="s">
        <v>1347</v>
      </c>
      <c r="B692" s="468" t="s">
        <v>1385</v>
      </c>
      <c r="C692" s="469"/>
      <c r="D692" s="468"/>
      <c r="E692" s="470">
        <v>109360.1</v>
      </c>
      <c r="F692" s="470">
        <v>109360.1</v>
      </c>
      <c r="G692" s="470">
        <v>120</v>
      </c>
      <c r="H692" s="470">
        <v>0</v>
      </c>
      <c r="I692" s="471">
        <v>0</v>
      </c>
      <c r="J692" s="471"/>
    </row>
    <row r="693" spans="1:10" ht="38.25" outlineLevel="4">
      <c r="A693" s="472" t="s">
        <v>1347</v>
      </c>
      <c r="B693" s="473" t="s">
        <v>1385</v>
      </c>
      <c r="C693" s="474" t="s">
        <v>911</v>
      </c>
      <c r="D693" s="473" t="s">
        <v>912</v>
      </c>
      <c r="E693" s="475">
        <v>33400</v>
      </c>
      <c r="F693" s="475">
        <v>33400</v>
      </c>
      <c r="G693" s="475">
        <v>0</v>
      </c>
      <c r="H693" s="475">
        <v>0</v>
      </c>
      <c r="I693" s="471">
        <v>0</v>
      </c>
      <c r="J693" s="471"/>
    </row>
    <row r="694" spans="1:10" ht="38.25" outlineLevel="4">
      <c r="A694" s="472" t="s">
        <v>1347</v>
      </c>
      <c r="B694" s="473" t="s">
        <v>1385</v>
      </c>
      <c r="C694" s="474" t="s">
        <v>818</v>
      </c>
      <c r="D694" s="473" t="s">
        <v>819</v>
      </c>
      <c r="E694" s="475">
        <v>75960.100000000006</v>
      </c>
      <c r="F694" s="475">
        <v>75960.100000000006</v>
      </c>
      <c r="G694" s="475">
        <v>120</v>
      </c>
      <c r="H694" s="475">
        <v>0</v>
      </c>
      <c r="I694" s="471">
        <v>0</v>
      </c>
      <c r="J694" s="471"/>
    </row>
    <row r="695" spans="1:10" ht="38.25" outlineLevel="2">
      <c r="A695" s="462" t="s">
        <v>1386</v>
      </c>
      <c r="B695" s="463" t="s">
        <v>1387</v>
      </c>
      <c r="C695" s="464"/>
      <c r="D695" s="463"/>
      <c r="E695" s="465">
        <v>99973.913809999998</v>
      </c>
      <c r="F695" s="465">
        <v>99973.913809999998</v>
      </c>
      <c r="G695" s="465">
        <v>45922.42325</v>
      </c>
      <c r="H695" s="465">
        <v>40300.534760000002</v>
      </c>
      <c r="I695" s="466">
        <v>40.31</v>
      </c>
      <c r="J695" s="466"/>
    </row>
    <row r="696" spans="1:10" ht="76.5" outlineLevel="3">
      <c r="A696" s="467" t="s">
        <v>717</v>
      </c>
      <c r="B696" s="468" t="s">
        <v>1388</v>
      </c>
      <c r="C696" s="469"/>
      <c r="D696" s="468"/>
      <c r="E696" s="470">
        <v>98573.913809999998</v>
      </c>
      <c r="F696" s="470">
        <v>98573.913809999998</v>
      </c>
      <c r="G696" s="470">
        <v>45322.42325</v>
      </c>
      <c r="H696" s="470">
        <v>40275.949760000003</v>
      </c>
      <c r="I696" s="471">
        <v>40.86</v>
      </c>
      <c r="J696" s="471"/>
    </row>
    <row r="697" spans="1:10" ht="76.5" outlineLevel="4">
      <c r="A697" s="472" t="s">
        <v>717</v>
      </c>
      <c r="B697" s="473" t="s">
        <v>1388</v>
      </c>
      <c r="C697" s="474" t="s">
        <v>911</v>
      </c>
      <c r="D697" s="473" t="s">
        <v>912</v>
      </c>
      <c r="E697" s="475">
        <v>98573.913809999998</v>
      </c>
      <c r="F697" s="475">
        <v>98573.913809999998</v>
      </c>
      <c r="G697" s="475">
        <v>45322.42325</v>
      </c>
      <c r="H697" s="475">
        <v>40275.949760000003</v>
      </c>
      <c r="I697" s="471">
        <v>40.86</v>
      </c>
      <c r="J697" s="471"/>
    </row>
    <row r="698" spans="1:10" ht="63.75" outlineLevel="3">
      <c r="A698" s="467" t="s">
        <v>62</v>
      </c>
      <c r="B698" s="468" t="s">
        <v>1389</v>
      </c>
      <c r="C698" s="469"/>
      <c r="D698" s="468"/>
      <c r="E698" s="470">
        <v>1400</v>
      </c>
      <c r="F698" s="470">
        <v>1400</v>
      </c>
      <c r="G698" s="470">
        <v>600</v>
      </c>
      <c r="H698" s="470">
        <v>24.585000000000001</v>
      </c>
      <c r="I698" s="471">
        <v>1.76</v>
      </c>
      <c r="J698" s="471"/>
    </row>
    <row r="699" spans="1:10" ht="63.75" outlineLevel="4">
      <c r="A699" s="472" t="s">
        <v>62</v>
      </c>
      <c r="B699" s="473" t="s">
        <v>1389</v>
      </c>
      <c r="C699" s="474" t="s">
        <v>911</v>
      </c>
      <c r="D699" s="473" t="s">
        <v>912</v>
      </c>
      <c r="E699" s="475">
        <v>1400</v>
      </c>
      <c r="F699" s="475">
        <v>1400</v>
      </c>
      <c r="G699" s="475">
        <v>600</v>
      </c>
      <c r="H699" s="475">
        <v>24.585000000000001</v>
      </c>
      <c r="I699" s="471">
        <v>1.76</v>
      </c>
      <c r="J699" s="471"/>
    </row>
    <row r="700" spans="1:10" outlineLevel="1">
      <c r="A700" s="457" t="s">
        <v>1390</v>
      </c>
      <c r="B700" s="458" t="s">
        <v>1391</v>
      </c>
      <c r="C700" s="459"/>
      <c r="D700" s="458"/>
      <c r="E700" s="460">
        <v>888769.15879999998</v>
      </c>
      <c r="F700" s="460">
        <v>853975.74528999999</v>
      </c>
      <c r="G700" s="460">
        <v>305916.75238000002</v>
      </c>
      <c r="H700" s="460">
        <v>254832.09815999999</v>
      </c>
      <c r="I700" s="461">
        <v>28.67</v>
      </c>
      <c r="J700" s="461"/>
    </row>
    <row r="701" spans="1:10" ht="38.25" outlineLevel="2">
      <c r="A701" s="462" t="s">
        <v>1392</v>
      </c>
      <c r="B701" s="463" t="s">
        <v>1393</v>
      </c>
      <c r="C701" s="464"/>
      <c r="D701" s="463"/>
      <c r="E701" s="465">
        <v>257508.51245000001</v>
      </c>
      <c r="F701" s="465">
        <v>251821.57818000001</v>
      </c>
      <c r="G701" s="465">
        <v>135659.31117999999</v>
      </c>
      <c r="H701" s="465">
        <v>135659.31117999999</v>
      </c>
      <c r="I701" s="466">
        <v>52.68</v>
      </c>
      <c r="J701" s="466"/>
    </row>
    <row r="702" spans="1:10" ht="76.5" outlineLevel="3">
      <c r="A702" s="467" t="s">
        <v>717</v>
      </c>
      <c r="B702" s="468" t="s">
        <v>1394</v>
      </c>
      <c r="C702" s="469"/>
      <c r="D702" s="468"/>
      <c r="E702" s="470">
        <v>248071.12245</v>
      </c>
      <c r="F702" s="470">
        <v>242384.18818</v>
      </c>
      <c r="G702" s="470">
        <v>133179.01118</v>
      </c>
      <c r="H702" s="470">
        <v>133179.01118</v>
      </c>
      <c r="I702" s="471">
        <v>53.69</v>
      </c>
      <c r="J702" s="471"/>
    </row>
    <row r="703" spans="1:10" ht="76.5" outlineLevel="4">
      <c r="A703" s="472" t="s">
        <v>717</v>
      </c>
      <c r="B703" s="473" t="s">
        <v>1394</v>
      </c>
      <c r="C703" s="474" t="s">
        <v>911</v>
      </c>
      <c r="D703" s="473" t="s">
        <v>912</v>
      </c>
      <c r="E703" s="475">
        <v>248071.12245</v>
      </c>
      <c r="F703" s="475">
        <v>242384.18818</v>
      </c>
      <c r="G703" s="475">
        <v>133179.01118</v>
      </c>
      <c r="H703" s="475">
        <v>133179.01118</v>
      </c>
      <c r="I703" s="471">
        <v>53.69</v>
      </c>
      <c r="J703" s="471"/>
    </row>
    <row r="704" spans="1:10" ht="38.25" outlineLevel="3">
      <c r="A704" s="467" t="s">
        <v>1395</v>
      </c>
      <c r="B704" s="468" t="s">
        <v>1396</v>
      </c>
      <c r="C704" s="469"/>
      <c r="D704" s="468"/>
      <c r="E704" s="470">
        <v>9437.39</v>
      </c>
      <c r="F704" s="470">
        <v>9437.39</v>
      </c>
      <c r="G704" s="470">
        <v>2480.3000000000002</v>
      </c>
      <c r="H704" s="470">
        <v>2480.3000000000002</v>
      </c>
      <c r="I704" s="471">
        <v>26.28</v>
      </c>
      <c r="J704" s="471"/>
    </row>
    <row r="705" spans="1:10" ht="38.25" outlineLevel="4">
      <c r="A705" s="472" t="s">
        <v>1395</v>
      </c>
      <c r="B705" s="473" t="s">
        <v>1396</v>
      </c>
      <c r="C705" s="474" t="s">
        <v>911</v>
      </c>
      <c r="D705" s="473" t="s">
        <v>912</v>
      </c>
      <c r="E705" s="475">
        <v>9437.39</v>
      </c>
      <c r="F705" s="475">
        <v>9437.39</v>
      </c>
      <c r="G705" s="475">
        <v>2480.3000000000002</v>
      </c>
      <c r="H705" s="475">
        <v>2480.3000000000002</v>
      </c>
      <c r="I705" s="471">
        <v>26.28</v>
      </c>
      <c r="J705" s="471"/>
    </row>
    <row r="706" spans="1:10" ht="63.75" outlineLevel="2">
      <c r="A706" s="462" t="s">
        <v>1397</v>
      </c>
      <c r="B706" s="463" t="s">
        <v>1398</v>
      </c>
      <c r="C706" s="464"/>
      <c r="D706" s="463"/>
      <c r="E706" s="465">
        <v>41771.532899999998</v>
      </c>
      <c r="F706" s="465">
        <v>41771.532899999998</v>
      </c>
      <c r="G706" s="465">
        <v>215.4</v>
      </c>
      <c r="H706" s="465">
        <v>215.4</v>
      </c>
      <c r="I706" s="466">
        <v>0.52</v>
      </c>
      <c r="J706" s="466"/>
    </row>
    <row r="707" spans="1:10" ht="76.5" outlineLevel="3">
      <c r="A707" s="467" t="s">
        <v>717</v>
      </c>
      <c r="B707" s="468" t="s">
        <v>1399</v>
      </c>
      <c r="C707" s="469"/>
      <c r="D707" s="468"/>
      <c r="E707" s="470">
        <v>10215.4</v>
      </c>
      <c r="F707" s="470">
        <v>10215.4</v>
      </c>
      <c r="G707" s="470">
        <v>215.4</v>
      </c>
      <c r="H707" s="470">
        <v>215.4</v>
      </c>
      <c r="I707" s="471">
        <v>2.11</v>
      </c>
      <c r="J707" s="471"/>
    </row>
    <row r="708" spans="1:10" ht="76.5" outlineLevel="4">
      <c r="A708" s="472" t="s">
        <v>717</v>
      </c>
      <c r="B708" s="473" t="s">
        <v>1399</v>
      </c>
      <c r="C708" s="474" t="s">
        <v>911</v>
      </c>
      <c r="D708" s="473" t="s">
        <v>912</v>
      </c>
      <c r="E708" s="475">
        <v>10215.4</v>
      </c>
      <c r="F708" s="475">
        <v>10215.4</v>
      </c>
      <c r="G708" s="475">
        <v>215.4</v>
      </c>
      <c r="H708" s="475">
        <v>215.4</v>
      </c>
      <c r="I708" s="471">
        <v>2.11</v>
      </c>
      <c r="J708" s="471"/>
    </row>
    <row r="709" spans="1:10" ht="25.5" outlineLevel="3">
      <c r="A709" s="467" t="s">
        <v>728</v>
      </c>
      <c r="B709" s="468" t="s">
        <v>1400</v>
      </c>
      <c r="C709" s="469"/>
      <c r="D709" s="468"/>
      <c r="E709" s="470">
        <v>2728.9</v>
      </c>
      <c r="F709" s="470">
        <v>2728.9</v>
      </c>
      <c r="G709" s="470">
        <v>0</v>
      </c>
      <c r="H709" s="470">
        <v>0</v>
      </c>
      <c r="I709" s="471">
        <v>0</v>
      </c>
      <c r="J709" s="471"/>
    </row>
    <row r="710" spans="1:10" ht="25.5" outlineLevel="4">
      <c r="A710" s="472" t="s">
        <v>728</v>
      </c>
      <c r="B710" s="473" t="s">
        <v>1400</v>
      </c>
      <c r="C710" s="474" t="s">
        <v>818</v>
      </c>
      <c r="D710" s="473" t="s">
        <v>819</v>
      </c>
      <c r="E710" s="475">
        <v>2728.9</v>
      </c>
      <c r="F710" s="475">
        <v>2728.9</v>
      </c>
      <c r="G710" s="475">
        <v>0</v>
      </c>
      <c r="H710" s="475">
        <v>0</v>
      </c>
      <c r="I710" s="471">
        <v>0</v>
      </c>
      <c r="J710" s="471"/>
    </row>
    <row r="711" spans="1:10" ht="51" outlineLevel="3">
      <c r="A711" s="467" t="s">
        <v>816</v>
      </c>
      <c r="B711" s="468" t="s">
        <v>1401</v>
      </c>
      <c r="C711" s="469"/>
      <c r="D711" s="468"/>
      <c r="E711" s="470">
        <v>28827.232899999999</v>
      </c>
      <c r="F711" s="470">
        <v>28827.232899999999</v>
      </c>
      <c r="G711" s="470">
        <v>0</v>
      </c>
      <c r="H711" s="470">
        <v>0</v>
      </c>
      <c r="I711" s="471">
        <v>0</v>
      </c>
      <c r="J711" s="471"/>
    </row>
    <row r="712" spans="1:10" ht="51" outlineLevel="4">
      <c r="A712" s="472" t="s">
        <v>816</v>
      </c>
      <c r="B712" s="473" t="s">
        <v>1401</v>
      </c>
      <c r="C712" s="474" t="s">
        <v>818</v>
      </c>
      <c r="D712" s="473" t="s">
        <v>819</v>
      </c>
      <c r="E712" s="475">
        <v>28827.232899999999</v>
      </c>
      <c r="F712" s="475">
        <v>28827.232899999999</v>
      </c>
      <c r="G712" s="475">
        <v>0</v>
      </c>
      <c r="H712" s="475">
        <v>0</v>
      </c>
      <c r="I712" s="471">
        <v>0</v>
      </c>
      <c r="J712" s="471"/>
    </row>
    <row r="713" spans="1:10" ht="38.25" outlineLevel="2">
      <c r="A713" s="462" t="s">
        <v>1402</v>
      </c>
      <c r="B713" s="463" t="s">
        <v>1403</v>
      </c>
      <c r="C713" s="464"/>
      <c r="D713" s="463"/>
      <c r="E713" s="465">
        <v>153417.70861</v>
      </c>
      <c r="F713" s="465">
        <v>140558.56568</v>
      </c>
      <c r="G713" s="465">
        <v>73898.688680000007</v>
      </c>
      <c r="H713" s="465">
        <v>73898.688680000007</v>
      </c>
      <c r="I713" s="466">
        <v>48.17</v>
      </c>
      <c r="J713" s="466"/>
    </row>
    <row r="714" spans="1:10" ht="76.5" outlineLevel="3">
      <c r="A714" s="467" t="s">
        <v>717</v>
      </c>
      <c r="B714" s="468" t="s">
        <v>1404</v>
      </c>
      <c r="C714" s="469"/>
      <c r="D714" s="468"/>
      <c r="E714" s="470">
        <v>134951.41500000001</v>
      </c>
      <c r="F714" s="470">
        <v>132951.41500000001</v>
      </c>
      <c r="G714" s="470">
        <v>67291.538</v>
      </c>
      <c r="H714" s="470">
        <v>67291.538</v>
      </c>
      <c r="I714" s="471">
        <v>49.86</v>
      </c>
      <c r="J714" s="471"/>
    </row>
    <row r="715" spans="1:10" ht="76.5" outlineLevel="4">
      <c r="A715" s="472" t="s">
        <v>717</v>
      </c>
      <c r="B715" s="473" t="s">
        <v>1404</v>
      </c>
      <c r="C715" s="474" t="s">
        <v>911</v>
      </c>
      <c r="D715" s="473" t="s">
        <v>912</v>
      </c>
      <c r="E715" s="475">
        <v>134951.41500000001</v>
      </c>
      <c r="F715" s="475">
        <v>132951.41500000001</v>
      </c>
      <c r="G715" s="475">
        <v>67291.538</v>
      </c>
      <c r="H715" s="475">
        <v>67291.538</v>
      </c>
      <c r="I715" s="471">
        <v>49.86</v>
      </c>
      <c r="J715" s="471"/>
    </row>
    <row r="716" spans="1:10" ht="25.5" outlineLevel="3">
      <c r="A716" s="467" t="s">
        <v>721</v>
      </c>
      <c r="B716" s="468" t="s">
        <v>1405</v>
      </c>
      <c r="C716" s="469"/>
      <c r="D716" s="468"/>
      <c r="E716" s="470">
        <v>18466.293610000001</v>
      </c>
      <c r="F716" s="470">
        <v>7607.1506799999997</v>
      </c>
      <c r="G716" s="470">
        <v>6607.1506799999997</v>
      </c>
      <c r="H716" s="470">
        <v>6607.1506799999997</v>
      </c>
      <c r="I716" s="471">
        <v>35.78</v>
      </c>
      <c r="J716" s="471"/>
    </row>
    <row r="717" spans="1:10" ht="25.5" outlineLevel="4">
      <c r="A717" s="472" t="s">
        <v>721</v>
      </c>
      <c r="B717" s="473" t="s">
        <v>1405</v>
      </c>
      <c r="C717" s="474" t="s">
        <v>911</v>
      </c>
      <c r="D717" s="473" t="s">
        <v>912</v>
      </c>
      <c r="E717" s="475">
        <v>18466.293610000001</v>
      </c>
      <c r="F717" s="475">
        <v>7607.1506799999997</v>
      </c>
      <c r="G717" s="475">
        <v>6607.1506799999997</v>
      </c>
      <c r="H717" s="475">
        <v>6607.1506799999997</v>
      </c>
      <c r="I717" s="471">
        <v>35.78</v>
      </c>
      <c r="J717" s="471"/>
    </row>
    <row r="718" spans="1:10" ht="51" outlineLevel="2">
      <c r="A718" s="462" t="s">
        <v>1406</v>
      </c>
      <c r="B718" s="463" t="s">
        <v>1407</v>
      </c>
      <c r="C718" s="464"/>
      <c r="D718" s="463"/>
      <c r="E718" s="465">
        <v>41314.644840000001</v>
      </c>
      <c r="F718" s="465">
        <v>25131.544839999999</v>
      </c>
      <c r="G718" s="465">
        <v>4177.4454599999999</v>
      </c>
      <c r="H718" s="465">
        <v>4177.4454599999999</v>
      </c>
      <c r="I718" s="466">
        <v>10.11</v>
      </c>
      <c r="J718" s="466"/>
    </row>
    <row r="719" spans="1:10" ht="76.5" outlineLevel="3">
      <c r="A719" s="467" t="s">
        <v>717</v>
      </c>
      <c r="B719" s="468" t="s">
        <v>1408</v>
      </c>
      <c r="C719" s="469"/>
      <c r="D719" s="468"/>
      <c r="E719" s="470">
        <v>5275.71</v>
      </c>
      <c r="F719" s="470">
        <v>5275.71</v>
      </c>
      <c r="G719" s="470">
        <v>160.149</v>
      </c>
      <c r="H719" s="470">
        <v>160.149</v>
      </c>
      <c r="I719" s="471">
        <v>3.04</v>
      </c>
      <c r="J719" s="471"/>
    </row>
    <row r="720" spans="1:10" ht="76.5" outlineLevel="4">
      <c r="A720" s="472" t="s">
        <v>717</v>
      </c>
      <c r="B720" s="473" t="s">
        <v>1408</v>
      </c>
      <c r="C720" s="474" t="s">
        <v>911</v>
      </c>
      <c r="D720" s="473" t="s">
        <v>912</v>
      </c>
      <c r="E720" s="475">
        <v>5275.71</v>
      </c>
      <c r="F720" s="475">
        <v>5275.71</v>
      </c>
      <c r="G720" s="475">
        <v>160.149</v>
      </c>
      <c r="H720" s="475">
        <v>160.149</v>
      </c>
      <c r="I720" s="471">
        <v>3.04</v>
      </c>
      <c r="J720" s="471"/>
    </row>
    <row r="721" spans="1:10" ht="25.5" outlineLevel="3">
      <c r="A721" s="467" t="s">
        <v>728</v>
      </c>
      <c r="B721" s="468" t="s">
        <v>1409</v>
      </c>
      <c r="C721" s="469"/>
      <c r="D721" s="468"/>
      <c r="E721" s="470">
        <v>932.4</v>
      </c>
      <c r="F721" s="470">
        <v>932.4</v>
      </c>
      <c r="G721" s="470">
        <v>895.6</v>
      </c>
      <c r="H721" s="470">
        <v>895.6</v>
      </c>
      <c r="I721" s="471">
        <v>96.05</v>
      </c>
      <c r="J721" s="471"/>
    </row>
    <row r="722" spans="1:10" ht="25.5" outlineLevel="4">
      <c r="A722" s="472" t="s">
        <v>728</v>
      </c>
      <c r="B722" s="473" t="s">
        <v>1409</v>
      </c>
      <c r="C722" s="474" t="s">
        <v>818</v>
      </c>
      <c r="D722" s="473" t="s">
        <v>819</v>
      </c>
      <c r="E722" s="475">
        <v>932.4</v>
      </c>
      <c r="F722" s="475">
        <v>932.4</v>
      </c>
      <c r="G722" s="475">
        <v>895.6</v>
      </c>
      <c r="H722" s="475">
        <v>895.6</v>
      </c>
      <c r="I722" s="471">
        <v>96.05</v>
      </c>
      <c r="J722" s="471"/>
    </row>
    <row r="723" spans="1:10" ht="51" outlineLevel="3">
      <c r="A723" s="467" t="s">
        <v>816</v>
      </c>
      <c r="B723" s="468" t="s">
        <v>1410</v>
      </c>
      <c r="C723" s="469"/>
      <c r="D723" s="468"/>
      <c r="E723" s="470">
        <v>26484.32</v>
      </c>
      <c r="F723" s="470">
        <v>10301.219999999999</v>
      </c>
      <c r="G723" s="470">
        <v>0</v>
      </c>
      <c r="H723" s="470">
        <v>0</v>
      </c>
      <c r="I723" s="471">
        <v>0</v>
      </c>
      <c r="J723" s="471"/>
    </row>
    <row r="724" spans="1:10" ht="51" outlineLevel="4">
      <c r="A724" s="472" t="s">
        <v>816</v>
      </c>
      <c r="B724" s="473" t="s">
        <v>1410</v>
      </c>
      <c r="C724" s="474" t="s">
        <v>818</v>
      </c>
      <c r="D724" s="473" t="s">
        <v>819</v>
      </c>
      <c r="E724" s="475">
        <v>26484.32</v>
      </c>
      <c r="F724" s="475">
        <v>10301.219999999999</v>
      </c>
      <c r="G724" s="475">
        <v>0</v>
      </c>
      <c r="H724" s="475">
        <v>0</v>
      </c>
      <c r="I724" s="471">
        <v>0</v>
      </c>
      <c r="J724" s="471"/>
    </row>
    <row r="725" spans="1:10" ht="51" outlineLevel="3">
      <c r="A725" s="467" t="s">
        <v>1411</v>
      </c>
      <c r="B725" s="468" t="s">
        <v>1412</v>
      </c>
      <c r="C725" s="469"/>
      <c r="D725" s="468"/>
      <c r="E725" s="470">
        <v>8622.2148400000005</v>
      </c>
      <c r="F725" s="470">
        <v>8622.2148400000005</v>
      </c>
      <c r="G725" s="470">
        <v>3121.6964600000001</v>
      </c>
      <c r="H725" s="470">
        <v>3121.6964600000001</v>
      </c>
      <c r="I725" s="471">
        <v>36.21</v>
      </c>
      <c r="J725" s="471"/>
    </row>
    <row r="726" spans="1:10" ht="51" outlineLevel="4">
      <c r="A726" s="472" t="s">
        <v>1411</v>
      </c>
      <c r="B726" s="473" t="s">
        <v>1412</v>
      </c>
      <c r="C726" s="474" t="s">
        <v>818</v>
      </c>
      <c r="D726" s="473" t="s">
        <v>819</v>
      </c>
      <c r="E726" s="475">
        <v>8622.2148400000005</v>
      </c>
      <c r="F726" s="475">
        <v>8622.2148400000005</v>
      </c>
      <c r="G726" s="475">
        <v>3121.6964600000001</v>
      </c>
      <c r="H726" s="475">
        <v>3121.6964600000001</v>
      </c>
      <c r="I726" s="471">
        <v>36.21</v>
      </c>
      <c r="J726" s="471"/>
    </row>
    <row r="727" spans="1:10" ht="25.5" outlineLevel="2">
      <c r="A727" s="462" t="s">
        <v>1413</v>
      </c>
      <c r="B727" s="463" t="s">
        <v>1414</v>
      </c>
      <c r="C727" s="464"/>
      <c r="D727" s="463"/>
      <c r="E727" s="465">
        <v>394756.76</v>
      </c>
      <c r="F727" s="465">
        <v>394692.52369</v>
      </c>
      <c r="G727" s="465">
        <v>91965.907059999998</v>
      </c>
      <c r="H727" s="465">
        <v>40881.252840000001</v>
      </c>
      <c r="I727" s="466">
        <v>10.36</v>
      </c>
      <c r="J727" s="466"/>
    </row>
    <row r="728" spans="1:10" outlineLevel="3">
      <c r="A728" s="467" t="s">
        <v>1415</v>
      </c>
      <c r="B728" s="468" t="s">
        <v>1416</v>
      </c>
      <c r="C728" s="469"/>
      <c r="D728" s="468"/>
      <c r="E728" s="470">
        <v>394756.76</v>
      </c>
      <c r="F728" s="470">
        <v>394692.52369</v>
      </c>
      <c r="G728" s="470">
        <v>91965.907059999998</v>
      </c>
      <c r="H728" s="470">
        <v>40881.252840000001</v>
      </c>
      <c r="I728" s="471">
        <v>10.36</v>
      </c>
      <c r="J728" s="471"/>
    </row>
    <row r="729" spans="1:10" ht="25.5" outlineLevel="4">
      <c r="A729" s="472" t="s">
        <v>1415</v>
      </c>
      <c r="B729" s="473" t="s">
        <v>1416</v>
      </c>
      <c r="C729" s="474" t="s">
        <v>818</v>
      </c>
      <c r="D729" s="473" t="s">
        <v>819</v>
      </c>
      <c r="E729" s="475">
        <v>394756.76</v>
      </c>
      <c r="F729" s="475">
        <v>394692.52369</v>
      </c>
      <c r="G729" s="475">
        <v>91965.907059999998</v>
      </c>
      <c r="H729" s="475">
        <v>40881.252840000001</v>
      </c>
      <c r="I729" s="471">
        <v>10.36</v>
      </c>
      <c r="J729" s="476" t="s">
        <v>10</v>
      </c>
    </row>
    <row r="730" spans="1:10" ht="38.25" outlineLevel="1">
      <c r="A730" s="457" t="s">
        <v>1417</v>
      </c>
      <c r="B730" s="458" t="s">
        <v>1418</v>
      </c>
      <c r="C730" s="459"/>
      <c r="D730" s="458"/>
      <c r="E730" s="460">
        <v>177634.85975</v>
      </c>
      <c r="F730" s="460">
        <v>176650.70675000001</v>
      </c>
      <c r="G730" s="460">
        <v>84802.080499999996</v>
      </c>
      <c r="H730" s="460">
        <v>84547.019480000003</v>
      </c>
      <c r="I730" s="461">
        <v>47.6</v>
      </c>
      <c r="J730" s="461"/>
    </row>
    <row r="731" spans="1:10" ht="51" outlineLevel="2">
      <c r="A731" s="462" t="s">
        <v>1419</v>
      </c>
      <c r="B731" s="463" t="s">
        <v>1420</v>
      </c>
      <c r="C731" s="464"/>
      <c r="D731" s="463"/>
      <c r="E731" s="465">
        <v>53169.120750000002</v>
      </c>
      <c r="F731" s="465">
        <v>52184.967750000003</v>
      </c>
      <c r="G731" s="465">
        <v>24952.0805</v>
      </c>
      <c r="H731" s="465">
        <v>24697.019479999999</v>
      </c>
      <c r="I731" s="466">
        <v>46.45</v>
      </c>
      <c r="J731" s="466"/>
    </row>
    <row r="732" spans="1:10" ht="25.5" outlineLevel="3">
      <c r="A732" s="467" t="s">
        <v>888</v>
      </c>
      <c r="B732" s="468" t="s">
        <v>1421</v>
      </c>
      <c r="C732" s="469"/>
      <c r="D732" s="468"/>
      <c r="E732" s="470">
        <v>38625.333630000001</v>
      </c>
      <c r="F732" s="470">
        <v>38625.333630000001</v>
      </c>
      <c r="G732" s="470">
        <v>18997.90868</v>
      </c>
      <c r="H732" s="470">
        <v>18952.163659999998</v>
      </c>
      <c r="I732" s="471">
        <v>49.07</v>
      </c>
      <c r="J732" s="471"/>
    </row>
    <row r="733" spans="1:10" ht="25.5" outlineLevel="4">
      <c r="A733" s="472" t="s">
        <v>888</v>
      </c>
      <c r="B733" s="473" t="s">
        <v>1421</v>
      </c>
      <c r="C733" s="474" t="s">
        <v>911</v>
      </c>
      <c r="D733" s="473" t="s">
        <v>912</v>
      </c>
      <c r="E733" s="475">
        <v>38625.333630000001</v>
      </c>
      <c r="F733" s="475">
        <v>38625.333630000001</v>
      </c>
      <c r="G733" s="475">
        <v>18997.90868</v>
      </c>
      <c r="H733" s="475">
        <v>18952.163659999998</v>
      </c>
      <c r="I733" s="471">
        <v>49.07</v>
      </c>
      <c r="J733" s="471"/>
    </row>
    <row r="734" spans="1:10" ht="38.25" outlineLevel="3">
      <c r="A734" s="467" t="s">
        <v>869</v>
      </c>
      <c r="B734" s="468" t="s">
        <v>1422</v>
      </c>
      <c r="C734" s="469"/>
      <c r="D734" s="468"/>
      <c r="E734" s="470">
        <v>1985.5121200000001</v>
      </c>
      <c r="F734" s="470">
        <v>1985.5121200000001</v>
      </c>
      <c r="G734" s="470">
        <v>810.03026</v>
      </c>
      <c r="H734" s="470">
        <v>650.71425999999997</v>
      </c>
      <c r="I734" s="471">
        <v>32.770000000000003</v>
      </c>
      <c r="J734" s="471"/>
    </row>
    <row r="735" spans="1:10" ht="38.25" outlineLevel="4">
      <c r="A735" s="472" t="s">
        <v>869</v>
      </c>
      <c r="B735" s="473" t="s">
        <v>1422</v>
      </c>
      <c r="C735" s="474" t="s">
        <v>911</v>
      </c>
      <c r="D735" s="473" t="s">
        <v>912</v>
      </c>
      <c r="E735" s="475">
        <v>1985.5121200000001</v>
      </c>
      <c r="F735" s="475">
        <v>1985.5121200000001</v>
      </c>
      <c r="G735" s="475">
        <v>810.03026</v>
      </c>
      <c r="H735" s="475">
        <v>650.71425999999997</v>
      </c>
      <c r="I735" s="471">
        <v>32.770000000000003</v>
      </c>
      <c r="J735" s="471"/>
    </row>
    <row r="736" spans="1:10" ht="63.75" outlineLevel="3">
      <c r="A736" s="467" t="s">
        <v>62</v>
      </c>
      <c r="B736" s="468" t="s">
        <v>1423</v>
      </c>
      <c r="C736" s="469"/>
      <c r="D736" s="468"/>
      <c r="E736" s="470">
        <v>6825.5749999999998</v>
      </c>
      <c r="F736" s="470">
        <v>5861.4219999999996</v>
      </c>
      <c r="G736" s="470">
        <v>4312.2949799999997</v>
      </c>
      <c r="H736" s="470">
        <v>4312.2949799999997</v>
      </c>
      <c r="I736" s="471">
        <v>63.18</v>
      </c>
      <c r="J736" s="471"/>
    </row>
    <row r="737" spans="1:10" ht="63.75" outlineLevel="4">
      <c r="A737" s="472" t="s">
        <v>62</v>
      </c>
      <c r="B737" s="473" t="s">
        <v>1423</v>
      </c>
      <c r="C737" s="474" t="s">
        <v>911</v>
      </c>
      <c r="D737" s="473" t="s">
        <v>912</v>
      </c>
      <c r="E737" s="475">
        <v>6825.5749999999998</v>
      </c>
      <c r="F737" s="475">
        <v>5861.4219999999996</v>
      </c>
      <c r="G737" s="475">
        <v>4312.2949799999997</v>
      </c>
      <c r="H737" s="475">
        <v>4312.2949799999997</v>
      </c>
      <c r="I737" s="471">
        <v>63.18</v>
      </c>
      <c r="J737" s="471"/>
    </row>
    <row r="738" spans="1:10" ht="25.5" outlineLevel="3">
      <c r="A738" s="467" t="s">
        <v>728</v>
      </c>
      <c r="B738" s="468" t="s">
        <v>1424</v>
      </c>
      <c r="C738" s="469"/>
      <c r="D738" s="468"/>
      <c r="E738" s="470">
        <v>4805</v>
      </c>
      <c r="F738" s="470">
        <v>4805</v>
      </c>
      <c r="G738" s="470">
        <v>390</v>
      </c>
      <c r="H738" s="470">
        <v>390</v>
      </c>
      <c r="I738" s="471">
        <v>8.1199999999999992</v>
      </c>
      <c r="J738" s="471"/>
    </row>
    <row r="739" spans="1:10" ht="25.5" outlineLevel="4">
      <c r="A739" s="472" t="s">
        <v>728</v>
      </c>
      <c r="B739" s="473" t="s">
        <v>1424</v>
      </c>
      <c r="C739" s="474" t="s">
        <v>911</v>
      </c>
      <c r="D739" s="473" t="s">
        <v>912</v>
      </c>
      <c r="E739" s="475">
        <v>4805</v>
      </c>
      <c r="F739" s="475">
        <v>4805</v>
      </c>
      <c r="G739" s="475">
        <v>390</v>
      </c>
      <c r="H739" s="475">
        <v>390</v>
      </c>
      <c r="I739" s="471">
        <v>8.1199999999999992</v>
      </c>
      <c r="J739" s="471"/>
    </row>
    <row r="740" spans="1:10" ht="127.5" outlineLevel="3">
      <c r="A740" s="467" t="s">
        <v>1425</v>
      </c>
      <c r="B740" s="468" t="s">
        <v>1426</v>
      </c>
      <c r="C740" s="469"/>
      <c r="D740" s="468"/>
      <c r="E740" s="470">
        <v>277.7</v>
      </c>
      <c r="F740" s="470">
        <v>277.7</v>
      </c>
      <c r="G740" s="470">
        <v>241.84657999999999</v>
      </c>
      <c r="H740" s="470">
        <v>241.84657999999999</v>
      </c>
      <c r="I740" s="471">
        <v>87.09</v>
      </c>
      <c r="J740" s="471"/>
    </row>
    <row r="741" spans="1:10" ht="127.5" outlineLevel="4">
      <c r="A741" s="472" t="s">
        <v>1425</v>
      </c>
      <c r="B741" s="473" t="s">
        <v>1426</v>
      </c>
      <c r="C741" s="474" t="s">
        <v>911</v>
      </c>
      <c r="D741" s="473" t="s">
        <v>912</v>
      </c>
      <c r="E741" s="475">
        <v>277.7</v>
      </c>
      <c r="F741" s="475">
        <v>277.7</v>
      </c>
      <c r="G741" s="475">
        <v>241.84657999999999</v>
      </c>
      <c r="H741" s="475">
        <v>241.84657999999999</v>
      </c>
      <c r="I741" s="471">
        <v>87.09</v>
      </c>
      <c r="J741" s="476" t="s">
        <v>10</v>
      </c>
    </row>
    <row r="742" spans="1:10" ht="25.5" outlineLevel="3">
      <c r="A742" s="467" t="s">
        <v>721</v>
      </c>
      <c r="B742" s="468" t="s">
        <v>1427</v>
      </c>
      <c r="C742" s="469"/>
      <c r="D742" s="468"/>
      <c r="E742" s="470">
        <v>450</v>
      </c>
      <c r="F742" s="470">
        <v>430</v>
      </c>
      <c r="G742" s="470">
        <v>0</v>
      </c>
      <c r="H742" s="470">
        <v>0</v>
      </c>
      <c r="I742" s="471">
        <v>0</v>
      </c>
      <c r="J742" s="471"/>
    </row>
    <row r="743" spans="1:10" ht="25.5" outlineLevel="4">
      <c r="A743" s="472" t="s">
        <v>721</v>
      </c>
      <c r="B743" s="473" t="s">
        <v>1427</v>
      </c>
      <c r="C743" s="474" t="s">
        <v>911</v>
      </c>
      <c r="D743" s="473" t="s">
        <v>912</v>
      </c>
      <c r="E743" s="475">
        <v>450</v>
      </c>
      <c r="F743" s="475">
        <v>430</v>
      </c>
      <c r="G743" s="475">
        <v>0</v>
      </c>
      <c r="H743" s="475">
        <v>0</v>
      </c>
      <c r="I743" s="471">
        <v>0</v>
      </c>
      <c r="J743" s="471"/>
    </row>
    <row r="744" spans="1:10" outlineLevel="3">
      <c r="A744" s="467" t="s">
        <v>1428</v>
      </c>
      <c r="B744" s="468" t="s">
        <v>1429</v>
      </c>
      <c r="C744" s="469"/>
      <c r="D744" s="468"/>
      <c r="E744" s="470">
        <v>200</v>
      </c>
      <c r="F744" s="470">
        <v>200</v>
      </c>
      <c r="G744" s="470">
        <v>200</v>
      </c>
      <c r="H744" s="470">
        <v>150</v>
      </c>
      <c r="I744" s="471">
        <v>75</v>
      </c>
      <c r="J744" s="471"/>
    </row>
    <row r="745" spans="1:10" ht="25.5" outlineLevel="4">
      <c r="A745" s="472" t="s">
        <v>1428</v>
      </c>
      <c r="B745" s="473" t="s">
        <v>1429</v>
      </c>
      <c r="C745" s="474" t="s">
        <v>911</v>
      </c>
      <c r="D745" s="473" t="s">
        <v>912</v>
      </c>
      <c r="E745" s="475">
        <v>200</v>
      </c>
      <c r="F745" s="475">
        <v>200</v>
      </c>
      <c r="G745" s="475">
        <v>200</v>
      </c>
      <c r="H745" s="475">
        <v>150</v>
      </c>
      <c r="I745" s="471">
        <v>75</v>
      </c>
      <c r="J745" s="471"/>
    </row>
    <row r="746" spans="1:10" ht="76.5" outlineLevel="2">
      <c r="A746" s="462" t="s">
        <v>1430</v>
      </c>
      <c r="B746" s="463" t="s">
        <v>1431</v>
      </c>
      <c r="C746" s="464"/>
      <c r="D746" s="463"/>
      <c r="E746" s="465">
        <v>124465.739</v>
      </c>
      <c r="F746" s="465">
        <v>124465.739</v>
      </c>
      <c r="G746" s="465">
        <v>59850</v>
      </c>
      <c r="H746" s="465">
        <v>59850</v>
      </c>
      <c r="I746" s="466">
        <v>48.09</v>
      </c>
      <c r="J746" s="466"/>
    </row>
    <row r="747" spans="1:10" ht="76.5" outlineLevel="3">
      <c r="A747" s="467" t="s">
        <v>717</v>
      </c>
      <c r="B747" s="468" t="s">
        <v>1432</v>
      </c>
      <c r="C747" s="469"/>
      <c r="D747" s="468"/>
      <c r="E747" s="470">
        <v>124465.739</v>
      </c>
      <c r="F747" s="470">
        <v>124465.739</v>
      </c>
      <c r="G747" s="470">
        <v>59850</v>
      </c>
      <c r="H747" s="470">
        <v>59850</v>
      </c>
      <c r="I747" s="471">
        <v>48.09</v>
      </c>
      <c r="J747" s="471"/>
    </row>
    <row r="748" spans="1:10" ht="76.5" outlineLevel="4">
      <c r="A748" s="472" t="s">
        <v>717</v>
      </c>
      <c r="B748" s="473" t="s">
        <v>1432</v>
      </c>
      <c r="C748" s="474" t="s">
        <v>911</v>
      </c>
      <c r="D748" s="473" t="s">
        <v>912</v>
      </c>
      <c r="E748" s="475">
        <v>124465.739</v>
      </c>
      <c r="F748" s="475">
        <v>124465.739</v>
      </c>
      <c r="G748" s="475">
        <v>59850</v>
      </c>
      <c r="H748" s="475">
        <v>59850</v>
      </c>
      <c r="I748" s="471">
        <v>48.09</v>
      </c>
      <c r="J748" s="471"/>
    </row>
    <row r="749" spans="1:10" ht="51" outlineLevel="1">
      <c r="A749" s="457" t="s">
        <v>1433</v>
      </c>
      <c r="B749" s="458" t="s">
        <v>1434</v>
      </c>
      <c r="C749" s="459"/>
      <c r="D749" s="458"/>
      <c r="E749" s="460">
        <v>424487.00099999999</v>
      </c>
      <c r="F749" s="460">
        <v>221267.86481999999</v>
      </c>
      <c r="G749" s="460">
        <v>33306.061079999999</v>
      </c>
      <c r="H749" s="460">
        <v>24288.952450000001</v>
      </c>
      <c r="I749" s="461">
        <v>5.72</v>
      </c>
      <c r="J749" s="461"/>
    </row>
    <row r="750" spans="1:10" ht="76.5" outlineLevel="2">
      <c r="A750" s="462" t="s">
        <v>1435</v>
      </c>
      <c r="B750" s="463" t="s">
        <v>1436</v>
      </c>
      <c r="C750" s="464"/>
      <c r="D750" s="463"/>
      <c r="E750" s="465">
        <v>394196.85100000002</v>
      </c>
      <c r="F750" s="465">
        <v>190977.71481999999</v>
      </c>
      <c r="G750" s="465">
        <v>12072.061079999999</v>
      </c>
      <c r="H750" s="465">
        <v>3054.9524500000002</v>
      </c>
      <c r="I750" s="466">
        <v>0.77</v>
      </c>
      <c r="J750" s="466"/>
    </row>
    <row r="751" spans="1:10" ht="51" outlineLevel="3">
      <c r="A751" s="467" t="s">
        <v>1353</v>
      </c>
      <c r="B751" s="468" t="s">
        <v>1437</v>
      </c>
      <c r="C751" s="469"/>
      <c r="D751" s="468"/>
      <c r="E751" s="470">
        <v>34376.500999999997</v>
      </c>
      <c r="F751" s="470">
        <v>34376.500999999997</v>
      </c>
      <c r="G751" s="470">
        <v>0</v>
      </c>
      <c r="H751" s="470">
        <v>0</v>
      </c>
      <c r="I751" s="471">
        <v>0</v>
      </c>
      <c r="J751" s="471"/>
    </row>
    <row r="752" spans="1:10" ht="51" outlineLevel="4">
      <c r="A752" s="472" t="s">
        <v>1353</v>
      </c>
      <c r="B752" s="473" t="s">
        <v>1437</v>
      </c>
      <c r="C752" s="474" t="s">
        <v>818</v>
      </c>
      <c r="D752" s="473" t="s">
        <v>819</v>
      </c>
      <c r="E752" s="475">
        <v>34376.500999999997</v>
      </c>
      <c r="F752" s="475">
        <v>34376.500999999997</v>
      </c>
      <c r="G752" s="475">
        <v>0</v>
      </c>
      <c r="H752" s="475">
        <v>0</v>
      </c>
      <c r="I752" s="471">
        <v>0</v>
      </c>
      <c r="J752" s="471"/>
    </row>
    <row r="753" spans="1:10" ht="51" outlineLevel="3">
      <c r="A753" s="467" t="s">
        <v>1411</v>
      </c>
      <c r="B753" s="468" t="s">
        <v>1438</v>
      </c>
      <c r="C753" s="469"/>
      <c r="D753" s="468"/>
      <c r="E753" s="470">
        <v>116439.53</v>
      </c>
      <c r="F753" s="470">
        <v>116439.53</v>
      </c>
      <c r="G753" s="470">
        <v>3983.14</v>
      </c>
      <c r="H753" s="470">
        <v>1029.55816</v>
      </c>
      <c r="I753" s="471">
        <v>0.88</v>
      </c>
      <c r="J753" s="471"/>
    </row>
    <row r="754" spans="1:10" ht="51" outlineLevel="4">
      <c r="A754" s="472" t="s">
        <v>1411</v>
      </c>
      <c r="B754" s="473" t="s">
        <v>1438</v>
      </c>
      <c r="C754" s="474" t="s">
        <v>911</v>
      </c>
      <c r="D754" s="473" t="s">
        <v>912</v>
      </c>
      <c r="E754" s="475">
        <v>116439.53</v>
      </c>
      <c r="F754" s="475">
        <v>116439.53</v>
      </c>
      <c r="G754" s="475">
        <v>3983.14</v>
      </c>
      <c r="H754" s="475">
        <v>1029.55816</v>
      </c>
      <c r="I754" s="471">
        <v>0.88</v>
      </c>
      <c r="J754" s="471"/>
    </row>
    <row r="755" spans="1:10" ht="38.25" outlineLevel="3">
      <c r="A755" s="467" t="s">
        <v>1439</v>
      </c>
      <c r="B755" s="468" t="s">
        <v>1440</v>
      </c>
      <c r="C755" s="469"/>
      <c r="D755" s="468"/>
      <c r="E755" s="470">
        <v>30870.783820000001</v>
      </c>
      <c r="F755" s="470">
        <v>30870.783820000001</v>
      </c>
      <c r="G755" s="470">
        <v>6063.5267899999999</v>
      </c>
      <c r="H755" s="470">
        <v>0</v>
      </c>
      <c r="I755" s="471">
        <v>0</v>
      </c>
      <c r="J755" s="471"/>
    </row>
    <row r="756" spans="1:10" ht="38.25" outlineLevel="4">
      <c r="A756" s="472" t="s">
        <v>1439</v>
      </c>
      <c r="B756" s="473" t="s">
        <v>1440</v>
      </c>
      <c r="C756" s="474" t="s">
        <v>818</v>
      </c>
      <c r="D756" s="473" t="s">
        <v>819</v>
      </c>
      <c r="E756" s="475">
        <v>30870.783820000001</v>
      </c>
      <c r="F756" s="475">
        <v>30870.783820000001</v>
      </c>
      <c r="G756" s="475">
        <v>6063.5267899999999</v>
      </c>
      <c r="H756" s="475">
        <v>0</v>
      </c>
      <c r="I756" s="471">
        <v>0</v>
      </c>
      <c r="J756" s="471"/>
    </row>
    <row r="757" spans="1:10" ht="38.25" outlineLevel="3">
      <c r="A757" s="467" t="s">
        <v>997</v>
      </c>
      <c r="B757" s="468" t="s">
        <v>1441</v>
      </c>
      <c r="C757" s="469"/>
      <c r="D757" s="468"/>
      <c r="E757" s="470">
        <v>124024</v>
      </c>
      <c r="F757" s="470">
        <v>5224</v>
      </c>
      <c r="G757" s="470">
        <v>0</v>
      </c>
      <c r="H757" s="470">
        <v>0</v>
      </c>
      <c r="I757" s="471">
        <v>0</v>
      </c>
      <c r="J757" s="471"/>
    </row>
    <row r="758" spans="1:10" ht="38.25" outlineLevel="4">
      <c r="A758" s="472" t="s">
        <v>997</v>
      </c>
      <c r="B758" s="473" t="s">
        <v>1441</v>
      </c>
      <c r="C758" s="474" t="s">
        <v>818</v>
      </c>
      <c r="D758" s="473" t="s">
        <v>819</v>
      </c>
      <c r="E758" s="475">
        <v>124024</v>
      </c>
      <c r="F758" s="475">
        <v>5224</v>
      </c>
      <c r="G758" s="475">
        <v>0</v>
      </c>
      <c r="H758" s="475">
        <v>0</v>
      </c>
      <c r="I758" s="471">
        <v>0</v>
      </c>
      <c r="J758" s="471"/>
    </row>
    <row r="759" spans="1:10" ht="76.5" outlineLevel="3">
      <c r="A759" s="467" t="s">
        <v>1442</v>
      </c>
      <c r="B759" s="468" t="s">
        <v>1443</v>
      </c>
      <c r="C759" s="469"/>
      <c r="D759" s="468"/>
      <c r="E759" s="470">
        <v>84419.136180000001</v>
      </c>
      <c r="F759" s="470">
        <v>0</v>
      </c>
      <c r="G759" s="470">
        <v>0</v>
      </c>
      <c r="H759" s="470">
        <v>0</v>
      </c>
      <c r="I759" s="471">
        <v>0</v>
      </c>
      <c r="J759" s="471"/>
    </row>
    <row r="760" spans="1:10" ht="76.5" outlineLevel="4">
      <c r="A760" s="472" t="s">
        <v>1442</v>
      </c>
      <c r="B760" s="473" t="s">
        <v>1443</v>
      </c>
      <c r="C760" s="474" t="s">
        <v>818</v>
      </c>
      <c r="D760" s="473" t="s">
        <v>819</v>
      </c>
      <c r="E760" s="475">
        <v>84419.136180000001</v>
      </c>
      <c r="F760" s="475">
        <v>0</v>
      </c>
      <c r="G760" s="475">
        <v>0</v>
      </c>
      <c r="H760" s="475">
        <v>0</v>
      </c>
      <c r="I760" s="471">
        <v>0</v>
      </c>
      <c r="J760" s="471"/>
    </row>
    <row r="761" spans="1:10" ht="38.25" outlineLevel="3">
      <c r="A761" s="467" t="s">
        <v>1444</v>
      </c>
      <c r="B761" s="468" t="s">
        <v>1445</v>
      </c>
      <c r="C761" s="469"/>
      <c r="D761" s="468"/>
      <c r="E761" s="470">
        <v>4066.9</v>
      </c>
      <c r="F761" s="470">
        <v>4066.9</v>
      </c>
      <c r="G761" s="470">
        <v>2025.39429</v>
      </c>
      <c r="H761" s="470">
        <v>2025.39429</v>
      </c>
      <c r="I761" s="471">
        <v>49.8</v>
      </c>
      <c r="J761" s="471"/>
    </row>
    <row r="762" spans="1:10" ht="38.25" outlineLevel="4">
      <c r="A762" s="472" t="s">
        <v>1444</v>
      </c>
      <c r="B762" s="473" t="s">
        <v>1445</v>
      </c>
      <c r="C762" s="474" t="s">
        <v>911</v>
      </c>
      <c r="D762" s="473" t="s">
        <v>912</v>
      </c>
      <c r="E762" s="475">
        <v>4066.9</v>
      </c>
      <c r="F762" s="475">
        <v>4066.9</v>
      </c>
      <c r="G762" s="475">
        <v>2025.39429</v>
      </c>
      <c r="H762" s="475">
        <v>2025.39429</v>
      </c>
      <c r="I762" s="471">
        <v>49.8</v>
      </c>
      <c r="J762" s="471"/>
    </row>
    <row r="763" spans="1:10" ht="51" outlineLevel="2">
      <c r="A763" s="462" t="s">
        <v>1446</v>
      </c>
      <c r="B763" s="463" t="s">
        <v>1447</v>
      </c>
      <c r="C763" s="464"/>
      <c r="D763" s="463"/>
      <c r="E763" s="465">
        <v>2590.15</v>
      </c>
      <c r="F763" s="465">
        <v>2590.15</v>
      </c>
      <c r="G763" s="465">
        <v>0</v>
      </c>
      <c r="H763" s="465">
        <v>0</v>
      </c>
      <c r="I763" s="466">
        <v>0</v>
      </c>
      <c r="J763" s="466"/>
    </row>
    <row r="764" spans="1:10" ht="38.25" outlineLevel="3">
      <c r="A764" s="467" t="s">
        <v>1448</v>
      </c>
      <c r="B764" s="468" t="s">
        <v>1449</v>
      </c>
      <c r="C764" s="469"/>
      <c r="D764" s="468"/>
      <c r="E764" s="470">
        <v>2590.15</v>
      </c>
      <c r="F764" s="470">
        <v>2590.15</v>
      </c>
      <c r="G764" s="470">
        <v>0</v>
      </c>
      <c r="H764" s="470">
        <v>0</v>
      </c>
      <c r="I764" s="471">
        <v>0</v>
      </c>
      <c r="J764" s="471"/>
    </row>
    <row r="765" spans="1:10" ht="38.25" outlineLevel="4">
      <c r="A765" s="472" t="s">
        <v>1448</v>
      </c>
      <c r="B765" s="473" t="s">
        <v>1449</v>
      </c>
      <c r="C765" s="474" t="s">
        <v>911</v>
      </c>
      <c r="D765" s="473" t="s">
        <v>912</v>
      </c>
      <c r="E765" s="475">
        <v>2590.15</v>
      </c>
      <c r="F765" s="475">
        <v>2590.15</v>
      </c>
      <c r="G765" s="475">
        <v>0</v>
      </c>
      <c r="H765" s="475">
        <v>0</v>
      </c>
      <c r="I765" s="471">
        <v>0</v>
      </c>
      <c r="J765" s="471"/>
    </row>
    <row r="766" spans="1:10" ht="25.5" outlineLevel="2">
      <c r="A766" s="462" t="s">
        <v>1413</v>
      </c>
      <c r="B766" s="463" t="s">
        <v>1450</v>
      </c>
      <c r="C766" s="464"/>
      <c r="D766" s="463"/>
      <c r="E766" s="465">
        <v>20000</v>
      </c>
      <c r="F766" s="465">
        <v>20000</v>
      </c>
      <c r="G766" s="465">
        <v>14234</v>
      </c>
      <c r="H766" s="465">
        <v>14234</v>
      </c>
      <c r="I766" s="466">
        <v>71.17</v>
      </c>
      <c r="J766" s="466"/>
    </row>
    <row r="767" spans="1:10" ht="25.5" outlineLevel="3">
      <c r="A767" s="467" t="s">
        <v>1451</v>
      </c>
      <c r="B767" s="468" t="s">
        <v>1452</v>
      </c>
      <c r="C767" s="469"/>
      <c r="D767" s="468"/>
      <c r="E767" s="470">
        <v>20000</v>
      </c>
      <c r="F767" s="470">
        <v>20000</v>
      </c>
      <c r="G767" s="470">
        <v>14234</v>
      </c>
      <c r="H767" s="470">
        <v>14234</v>
      </c>
      <c r="I767" s="471">
        <v>71.17</v>
      </c>
      <c r="J767" s="471"/>
    </row>
    <row r="768" spans="1:10" ht="25.5" outlineLevel="4">
      <c r="A768" s="472" t="s">
        <v>1451</v>
      </c>
      <c r="B768" s="473" t="s">
        <v>1452</v>
      </c>
      <c r="C768" s="474" t="s">
        <v>911</v>
      </c>
      <c r="D768" s="473" t="s">
        <v>912</v>
      </c>
      <c r="E768" s="475">
        <v>20000</v>
      </c>
      <c r="F768" s="475">
        <v>20000</v>
      </c>
      <c r="G768" s="475">
        <v>14234</v>
      </c>
      <c r="H768" s="475">
        <v>14234</v>
      </c>
      <c r="I768" s="471">
        <v>71.17</v>
      </c>
      <c r="J768" s="476" t="s">
        <v>10</v>
      </c>
    </row>
    <row r="769" spans="1:10" ht="25.5" outlineLevel="2">
      <c r="A769" s="462" t="s">
        <v>1453</v>
      </c>
      <c r="B769" s="463" t="s">
        <v>1454</v>
      </c>
      <c r="C769" s="464"/>
      <c r="D769" s="463"/>
      <c r="E769" s="465">
        <v>7700</v>
      </c>
      <c r="F769" s="465">
        <v>7700</v>
      </c>
      <c r="G769" s="465">
        <v>7000</v>
      </c>
      <c r="H769" s="465">
        <v>7000</v>
      </c>
      <c r="I769" s="466">
        <v>90.91</v>
      </c>
      <c r="J769" s="466"/>
    </row>
    <row r="770" spans="1:10" outlineLevel="3">
      <c r="A770" s="467" t="s">
        <v>1455</v>
      </c>
      <c r="B770" s="468" t="s">
        <v>1456</v>
      </c>
      <c r="C770" s="469"/>
      <c r="D770" s="468"/>
      <c r="E770" s="470">
        <v>7700</v>
      </c>
      <c r="F770" s="470">
        <v>7700</v>
      </c>
      <c r="G770" s="470">
        <v>7000</v>
      </c>
      <c r="H770" s="470">
        <v>7000</v>
      </c>
      <c r="I770" s="471">
        <v>90.91</v>
      </c>
      <c r="J770" s="471"/>
    </row>
    <row r="771" spans="1:10" ht="25.5" outlineLevel="4">
      <c r="A771" s="472" t="s">
        <v>1455</v>
      </c>
      <c r="B771" s="473" t="s">
        <v>1456</v>
      </c>
      <c r="C771" s="474" t="s">
        <v>911</v>
      </c>
      <c r="D771" s="473" t="s">
        <v>912</v>
      </c>
      <c r="E771" s="475">
        <v>7700</v>
      </c>
      <c r="F771" s="475">
        <v>7700</v>
      </c>
      <c r="G771" s="475">
        <v>7000</v>
      </c>
      <c r="H771" s="475">
        <v>7000</v>
      </c>
      <c r="I771" s="471">
        <v>90.91</v>
      </c>
      <c r="J771" s="476" t="s">
        <v>10</v>
      </c>
    </row>
    <row r="772" spans="1:10" ht="45.75" collapsed="1" thickBot="1">
      <c r="A772" s="452" t="s">
        <v>1457</v>
      </c>
      <c r="B772" s="453" t="s">
        <v>1458</v>
      </c>
      <c r="C772" s="454"/>
      <c r="D772" s="453"/>
      <c r="E772" s="455">
        <v>1358752.1001500001</v>
      </c>
      <c r="F772" s="455">
        <v>1358752.1001500001</v>
      </c>
      <c r="G772" s="455">
        <v>683393.68732999999</v>
      </c>
      <c r="H772" s="455">
        <v>511471.04291999998</v>
      </c>
      <c r="I772" s="456">
        <v>37.64</v>
      </c>
      <c r="J772" s="456"/>
    </row>
    <row r="773" spans="1:10" ht="25.5" outlineLevel="1">
      <c r="A773" s="457" t="s">
        <v>1459</v>
      </c>
      <c r="B773" s="458" t="s">
        <v>1460</v>
      </c>
      <c r="C773" s="459"/>
      <c r="D773" s="458"/>
      <c r="E773" s="460">
        <v>1310123.5016399999</v>
      </c>
      <c r="F773" s="460">
        <v>1310123.5016399999</v>
      </c>
      <c r="G773" s="460">
        <v>660524.09828999999</v>
      </c>
      <c r="H773" s="460">
        <v>492426.57577</v>
      </c>
      <c r="I773" s="461">
        <v>37.590000000000003</v>
      </c>
      <c r="J773" s="461"/>
    </row>
    <row r="774" spans="1:10" ht="38.25" outlineLevel="2">
      <c r="A774" s="462" t="s">
        <v>1461</v>
      </c>
      <c r="B774" s="463" t="s">
        <v>1462</v>
      </c>
      <c r="C774" s="464"/>
      <c r="D774" s="463"/>
      <c r="E774" s="465">
        <v>1296740.30164</v>
      </c>
      <c r="F774" s="465">
        <v>1296740.30164</v>
      </c>
      <c r="G774" s="465">
        <v>655183.45620000002</v>
      </c>
      <c r="H774" s="465">
        <v>487085.93368000002</v>
      </c>
      <c r="I774" s="466">
        <v>37.56</v>
      </c>
      <c r="J774" s="466"/>
    </row>
    <row r="775" spans="1:10" ht="76.5" outlineLevel="3">
      <c r="A775" s="467" t="s">
        <v>717</v>
      </c>
      <c r="B775" s="468" t="s">
        <v>1463</v>
      </c>
      <c r="C775" s="469"/>
      <c r="D775" s="468"/>
      <c r="E775" s="470">
        <v>339675.79564000003</v>
      </c>
      <c r="F775" s="470">
        <v>339675.79564000003</v>
      </c>
      <c r="G775" s="470">
        <v>189820.03894</v>
      </c>
      <c r="H775" s="470">
        <v>164131.42478</v>
      </c>
      <c r="I775" s="471">
        <v>48.32</v>
      </c>
      <c r="J775" s="471"/>
    </row>
    <row r="776" spans="1:10" ht="76.5" outlineLevel="4">
      <c r="A776" s="472" t="s">
        <v>717</v>
      </c>
      <c r="B776" s="473" t="s">
        <v>1463</v>
      </c>
      <c r="C776" s="474" t="s">
        <v>1058</v>
      </c>
      <c r="D776" s="473" t="s">
        <v>1059</v>
      </c>
      <c r="E776" s="475">
        <v>339675.79564000003</v>
      </c>
      <c r="F776" s="475">
        <v>339675.79564000003</v>
      </c>
      <c r="G776" s="475">
        <v>189820.03894</v>
      </c>
      <c r="H776" s="475">
        <v>164131.42478</v>
      </c>
      <c r="I776" s="471">
        <v>48.32</v>
      </c>
      <c r="J776" s="471"/>
    </row>
    <row r="777" spans="1:10" ht="63.75" outlineLevel="3">
      <c r="A777" s="467" t="s">
        <v>62</v>
      </c>
      <c r="B777" s="468" t="s">
        <v>1464</v>
      </c>
      <c r="C777" s="469"/>
      <c r="D777" s="468"/>
      <c r="E777" s="470">
        <v>4756.4059999999999</v>
      </c>
      <c r="F777" s="470">
        <v>4756.4059999999999</v>
      </c>
      <c r="G777" s="470">
        <v>797.92642000000001</v>
      </c>
      <c r="H777" s="470">
        <v>762.92642000000001</v>
      </c>
      <c r="I777" s="471">
        <v>16.04</v>
      </c>
      <c r="J777" s="471"/>
    </row>
    <row r="778" spans="1:10" ht="63.75" outlineLevel="4">
      <c r="A778" s="472" t="s">
        <v>62</v>
      </c>
      <c r="B778" s="473" t="s">
        <v>1464</v>
      </c>
      <c r="C778" s="474" t="s">
        <v>1058</v>
      </c>
      <c r="D778" s="473" t="s">
        <v>1059</v>
      </c>
      <c r="E778" s="475">
        <v>4756.4059999999999</v>
      </c>
      <c r="F778" s="475">
        <v>4756.4059999999999</v>
      </c>
      <c r="G778" s="475">
        <v>797.92642000000001</v>
      </c>
      <c r="H778" s="475">
        <v>762.92642000000001</v>
      </c>
      <c r="I778" s="471">
        <v>16.04</v>
      </c>
      <c r="J778" s="471"/>
    </row>
    <row r="779" spans="1:10" ht="63.75" outlineLevel="3">
      <c r="A779" s="467" t="s">
        <v>1465</v>
      </c>
      <c r="B779" s="468" t="s">
        <v>1466</v>
      </c>
      <c r="C779" s="469"/>
      <c r="D779" s="468"/>
      <c r="E779" s="470">
        <v>495021.9</v>
      </c>
      <c r="F779" s="470">
        <v>495021.9</v>
      </c>
      <c r="G779" s="470">
        <v>462045.49083999998</v>
      </c>
      <c r="H779" s="470">
        <v>320631.58247999998</v>
      </c>
      <c r="I779" s="471">
        <v>64.77</v>
      </c>
      <c r="J779" s="471"/>
    </row>
    <row r="780" spans="1:10" ht="63.75" outlineLevel="4">
      <c r="A780" s="472" t="s">
        <v>1465</v>
      </c>
      <c r="B780" s="473" t="s">
        <v>1466</v>
      </c>
      <c r="C780" s="474" t="s">
        <v>1058</v>
      </c>
      <c r="D780" s="473" t="s">
        <v>1059</v>
      </c>
      <c r="E780" s="475">
        <v>495021.9</v>
      </c>
      <c r="F780" s="475">
        <v>495021.9</v>
      </c>
      <c r="G780" s="475">
        <v>462045.49083999998</v>
      </c>
      <c r="H780" s="475">
        <v>320631.58247999998</v>
      </c>
      <c r="I780" s="471">
        <v>64.77</v>
      </c>
      <c r="J780" s="476" t="s">
        <v>10</v>
      </c>
    </row>
    <row r="781" spans="1:10" ht="89.25" outlineLevel="3">
      <c r="A781" s="467" t="s">
        <v>1467</v>
      </c>
      <c r="B781" s="468" t="s">
        <v>1468</v>
      </c>
      <c r="C781" s="469"/>
      <c r="D781" s="468"/>
      <c r="E781" s="470">
        <v>454286.2</v>
      </c>
      <c r="F781" s="470">
        <v>454286.2</v>
      </c>
      <c r="G781" s="470">
        <v>0</v>
      </c>
      <c r="H781" s="470">
        <v>0</v>
      </c>
      <c r="I781" s="471">
        <v>0</v>
      </c>
      <c r="J781" s="471"/>
    </row>
    <row r="782" spans="1:10" ht="89.25" outlineLevel="4">
      <c r="A782" s="472" t="s">
        <v>1467</v>
      </c>
      <c r="B782" s="473" t="s">
        <v>1468</v>
      </c>
      <c r="C782" s="474" t="s">
        <v>1058</v>
      </c>
      <c r="D782" s="473" t="s">
        <v>1059</v>
      </c>
      <c r="E782" s="475">
        <v>454286.2</v>
      </c>
      <c r="F782" s="475">
        <v>454286.2</v>
      </c>
      <c r="G782" s="475">
        <v>0</v>
      </c>
      <c r="H782" s="475">
        <v>0</v>
      </c>
      <c r="I782" s="471">
        <v>0</v>
      </c>
      <c r="J782" s="476" t="s">
        <v>10</v>
      </c>
    </row>
    <row r="783" spans="1:10" ht="25.5" outlineLevel="3">
      <c r="A783" s="467" t="s">
        <v>721</v>
      </c>
      <c r="B783" s="468" t="s">
        <v>1469</v>
      </c>
      <c r="C783" s="469"/>
      <c r="D783" s="468"/>
      <c r="E783" s="470">
        <v>3000</v>
      </c>
      <c r="F783" s="470">
        <v>3000</v>
      </c>
      <c r="G783" s="470">
        <v>2520</v>
      </c>
      <c r="H783" s="470">
        <v>1560</v>
      </c>
      <c r="I783" s="471">
        <v>52</v>
      </c>
      <c r="J783" s="471"/>
    </row>
    <row r="784" spans="1:10" ht="25.5" outlineLevel="4">
      <c r="A784" s="472" t="s">
        <v>721</v>
      </c>
      <c r="B784" s="473" t="s">
        <v>1469</v>
      </c>
      <c r="C784" s="474" t="s">
        <v>1058</v>
      </c>
      <c r="D784" s="473" t="s">
        <v>1059</v>
      </c>
      <c r="E784" s="475">
        <v>3000</v>
      </c>
      <c r="F784" s="475">
        <v>3000</v>
      </c>
      <c r="G784" s="475">
        <v>2520</v>
      </c>
      <c r="H784" s="475">
        <v>1560</v>
      </c>
      <c r="I784" s="471">
        <v>52</v>
      </c>
      <c r="J784" s="471"/>
    </row>
    <row r="785" spans="1:10" ht="51" outlineLevel="2">
      <c r="A785" s="462" t="s">
        <v>1470</v>
      </c>
      <c r="B785" s="463" t="s">
        <v>1471</v>
      </c>
      <c r="C785" s="464"/>
      <c r="D785" s="463"/>
      <c r="E785" s="465">
        <v>13383.2</v>
      </c>
      <c r="F785" s="465">
        <v>13383.2</v>
      </c>
      <c r="G785" s="465">
        <v>5340.6420900000003</v>
      </c>
      <c r="H785" s="465">
        <v>5340.6420900000003</v>
      </c>
      <c r="I785" s="466">
        <v>39.909999999999997</v>
      </c>
      <c r="J785" s="466"/>
    </row>
    <row r="786" spans="1:10" ht="38.25" outlineLevel="3">
      <c r="A786" s="467" t="s">
        <v>1472</v>
      </c>
      <c r="B786" s="468" t="s">
        <v>1473</v>
      </c>
      <c r="C786" s="469"/>
      <c r="D786" s="468"/>
      <c r="E786" s="470">
        <v>13383.2</v>
      </c>
      <c r="F786" s="470">
        <v>13383.2</v>
      </c>
      <c r="G786" s="470">
        <v>5340.6420900000003</v>
      </c>
      <c r="H786" s="470">
        <v>5340.6420900000003</v>
      </c>
      <c r="I786" s="471">
        <v>39.909999999999997</v>
      </c>
      <c r="J786" s="471"/>
    </row>
    <row r="787" spans="1:10" ht="38.25" outlineLevel="4">
      <c r="A787" s="472" t="s">
        <v>1472</v>
      </c>
      <c r="B787" s="473" t="s">
        <v>1473</v>
      </c>
      <c r="C787" s="474" t="s">
        <v>1058</v>
      </c>
      <c r="D787" s="473" t="s">
        <v>1059</v>
      </c>
      <c r="E787" s="475">
        <v>13383.2</v>
      </c>
      <c r="F787" s="475">
        <v>13383.2</v>
      </c>
      <c r="G787" s="475">
        <v>5340.6420900000003</v>
      </c>
      <c r="H787" s="475">
        <v>5340.6420900000003</v>
      </c>
      <c r="I787" s="471">
        <v>39.909999999999997</v>
      </c>
      <c r="J787" s="476" t="s">
        <v>10</v>
      </c>
    </row>
    <row r="788" spans="1:10" ht="63.75" outlineLevel="1">
      <c r="A788" s="457" t="s">
        <v>1474</v>
      </c>
      <c r="B788" s="458" t="s">
        <v>1475</v>
      </c>
      <c r="C788" s="459"/>
      <c r="D788" s="458"/>
      <c r="E788" s="460">
        <v>2707.3726299999998</v>
      </c>
      <c r="F788" s="460">
        <v>2707.3726299999998</v>
      </c>
      <c r="G788" s="460">
        <v>889.63235999999995</v>
      </c>
      <c r="H788" s="460">
        <v>677.86756000000003</v>
      </c>
      <c r="I788" s="461">
        <v>25.04</v>
      </c>
      <c r="J788" s="461"/>
    </row>
    <row r="789" spans="1:10" ht="51" outlineLevel="2">
      <c r="A789" s="462" t="s">
        <v>1476</v>
      </c>
      <c r="B789" s="463" t="s">
        <v>1477</v>
      </c>
      <c r="C789" s="464"/>
      <c r="D789" s="463"/>
      <c r="E789" s="465">
        <v>2707.3726299999998</v>
      </c>
      <c r="F789" s="465">
        <v>2707.3726299999998</v>
      </c>
      <c r="G789" s="465">
        <v>889.63235999999995</v>
      </c>
      <c r="H789" s="465">
        <v>677.86756000000003</v>
      </c>
      <c r="I789" s="466">
        <v>25.04</v>
      </c>
      <c r="J789" s="466"/>
    </row>
    <row r="790" spans="1:10" ht="76.5" outlineLevel="3">
      <c r="A790" s="467" t="s">
        <v>717</v>
      </c>
      <c r="B790" s="468" t="s">
        <v>1478</v>
      </c>
      <c r="C790" s="469"/>
      <c r="D790" s="468"/>
      <c r="E790" s="470">
        <v>1107.3726300000001</v>
      </c>
      <c r="F790" s="470">
        <v>1107.3726300000001</v>
      </c>
      <c r="G790" s="470">
        <v>177.86735999999999</v>
      </c>
      <c r="H790" s="470">
        <v>177.86735999999999</v>
      </c>
      <c r="I790" s="471">
        <v>16.059999999999999</v>
      </c>
      <c r="J790" s="471"/>
    </row>
    <row r="791" spans="1:10" ht="76.5" outlineLevel="4">
      <c r="A791" s="472" t="s">
        <v>717</v>
      </c>
      <c r="B791" s="473" t="s">
        <v>1478</v>
      </c>
      <c r="C791" s="474" t="s">
        <v>719</v>
      </c>
      <c r="D791" s="473" t="s">
        <v>720</v>
      </c>
      <c r="E791" s="475">
        <v>1107.3726300000001</v>
      </c>
      <c r="F791" s="475">
        <v>1107.3726300000001</v>
      </c>
      <c r="G791" s="475">
        <v>177.86735999999999</v>
      </c>
      <c r="H791" s="475">
        <v>177.86735999999999</v>
      </c>
      <c r="I791" s="471">
        <v>16.059999999999999</v>
      </c>
      <c r="J791" s="471"/>
    </row>
    <row r="792" spans="1:10" ht="63.75" outlineLevel="3">
      <c r="A792" s="467" t="s">
        <v>1479</v>
      </c>
      <c r="B792" s="468" t="s">
        <v>1480</v>
      </c>
      <c r="C792" s="469"/>
      <c r="D792" s="468"/>
      <c r="E792" s="470">
        <v>1600</v>
      </c>
      <c r="F792" s="470">
        <v>1600</v>
      </c>
      <c r="G792" s="470">
        <v>711.76499999999999</v>
      </c>
      <c r="H792" s="470">
        <v>500.00020000000001</v>
      </c>
      <c r="I792" s="471">
        <v>31.25</v>
      </c>
      <c r="J792" s="471"/>
    </row>
    <row r="793" spans="1:10" ht="63.75" outlineLevel="4">
      <c r="A793" s="472" t="s">
        <v>1479</v>
      </c>
      <c r="B793" s="473" t="s">
        <v>1480</v>
      </c>
      <c r="C793" s="474" t="s">
        <v>1058</v>
      </c>
      <c r="D793" s="473" t="s">
        <v>1059</v>
      </c>
      <c r="E793" s="475">
        <v>1600</v>
      </c>
      <c r="F793" s="475">
        <v>1600</v>
      </c>
      <c r="G793" s="475">
        <v>711.76499999999999</v>
      </c>
      <c r="H793" s="475">
        <v>500.00020000000001</v>
      </c>
      <c r="I793" s="471">
        <v>31.25</v>
      </c>
      <c r="J793" s="471"/>
    </row>
    <row r="794" spans="1:10" ht="38.25" outlineLevel="1">
      <c r="A794" s="457" t="s">
        <v>1481</v>
      </c>
      <c r="B794" s="458" t="s">
        <v>1482</v>
      </c>
      <c r="C794" s="459"/>
      <c r="D794" s="458"/>
      <c r="E794" s="460">
        <v>35872.262360000001</v>
      </c>
      <c r="F794" s="460">
        <v>35872.262360000001</v>
      </c>
      <c r="G794" s="460">
        <v>17545.732179999999</v>
      </c>
      <c r="H794" s="460">
        <v>13932.37509</v>
      </c>
      <c r="I794" s="461">
        <v>38.840000000000003</v>
      </c>
      <c r="J794" s="461"/>
    </row>
    <row r="795" spans="1:10" ht="63.75" outlineLevel="2">
      <c r="A795" s="462" t="s">
        <v>1483</v>
      </c>
      <c r="B795" s="463" t="s">
        <v>1484</v>
      </c>
      <c r="C795" s="464"/>
      <c r="D795" s="463"/>
      <c r="E795" s="465">
        <v>35872.262360000001</v>
      </c>
      <c r="F795" s="465">
        <v>35872.262360000001</v>
      </c>
      <c r="G795" s="465">
        <v>17545.732179999999</v>
      </c>
      <c r="H795" s="465">
        <v>13932.37509</v>
      </c>
      <c r="I795" s="466">
        <v>38.840000000000003</v>
      </c>
      <c r="J795" s="466"/>
    </row>
    <row r="796" spans="1:10" ht="25.5" outlineLevel="3">
      <c r="A796" s="467" t="s">
        <v>888</v>
      </c>
      <c r="B796" s="468" t="s">
        <v>1485</v>
      </c>
      <c r="C796" s="469"/>
      <c r="D796" s="468"/>
      <c r="E796" s="470">
        <v>29856.421480000001</v>
      </c>
      <c r="F796" s="470">
        <v>29856.421480000001</v>
      </c>
      <c r="G796" s="470">
        <v>16996.267970000001</v>
      </c>
      <c r="H796" s="470">
        <v>13382.910879999999</v>
      </c>
      <c r="I796" s="471">
        <v>44.82</v>
      </c>
      <c r="J796" s="471"/>
    </row>
    <row r="797" spans="1:10" ht="25.5" outlineLevel="4">
      <c r="A797" s="472" t="s">
        <v>888</v>
      </c>
      <c r="B797" s="473" t="s">
        <v>1485</v>
      </c>
      <c r="C797" s="474" t="s">
        <v>1058</v>
      </c>
      <c r="D797" s="473" t="s">
        <v>1059</v>
      </c>
      <c r="E797" s="475">
        <v>29856.421480000001</v>
      </c>
      <c r="F797" s="475">
        <v>29856.421480000001</v>
      </c>
      <c r="G797" s="475">
        <v>16996.267970000001</v>
      </c>
      <c r="H797" s="475">
        <v>13382.910879999999</v>
      </c>
      <c r="I797" s="471">
        <v>44.82</v>
      </c>
      <c r="J797" s="471"/>
    </row>
    <row r="798" spans="1:10" ht="38.25" outlineLevel="3">
      <c r="A798" s="467" t="s">
        <v>869</v>
      </c>
      <c r="B798" s="468" t="s">
        <v>1486</v>
      </c>
      <c r="C798" s="469"/>
      <c r="D798" s="468"/>
      <c r="E798" s="470">
        <v>956.69500000000005</v>
      </c>
      <c r="F798" s="470">
        <v>956.69500000000005</v>
      </c>
      <c r="G798" s="470">
        <v>28.375</v>
      </c>
      <c r="H798" s="470">
        <v>28.375</v>
      </c>
      <c r="I798" s="471">
        <v>2.97</v>
      </c>
      <c r="J798" s="471"/>
    </row>
    <row r="799" spans="1:10" ht="38.25" outlineLevel="4">
      <c r="A799" s="472" t="s">
        <v>869</v>
      </c>
      <c r="B799" s="473" t="s">
        <v>1486</v>
      </c>
      <c r="C799" s="474" t="s">
        <v>1058</v>
      </c>
      <c r="D799" s="473" t="s">
        <v>1059</v>
      </c>
      <c r="E799" s="475">
        <v>956.69500000000005</v>
      </c>
      <c r="F799" s="475">
        <v>956.69500000000005</v>
      </c>
      <c r="G799" s="475">
        <v>28.375</v>
      </c>
      <c r="H799" s="475">
        <v>28.375</v>
      </c>
      <c r="I799" s="471">
        <v>2.97</v>
      </c>
      <c r="J799" s="471"/>
    </row>
    <row r="800" spans="1:10" ht="63.75" outlineLevel="3">
      <c r="A800" s="467" t="s">
        <v>62</v>
      </c>
      <c r="B800" s="468" t="s">
        <v>1487</v>
      </c>
      <c r="C800" s="469"/>
      <c r="D800" s="468"/>
      <c r="E800" s="470">
        <v>19.145879999999998</v>
      </c>
      <c r="F800" s="470">
        <v>19.145879999999998</v>
      </c>
      <c r="G800" s="470">
        <v>19.145879999999998</v>
      </c>
      <c r="H800" s="470">
        <v>19.145879999999998</v>
      </c>
      <c r="I800" s="471">
        <v>100</v>
      </c>
      <c r="J800" s="471"/>
    </row>
    <row r="801" spans="1:10" ht="63.75" outlineLevel="4">
      <c r="A801" s="472" t="s">
        <v>62</v>
      </c>
      <c r="B801" s="473" t="s">
        <v>1487</v>
      </c>
      <c r="C801" s="474" t="s">
        <v>1058</v>
      </c>
      <c r="D801" s="473" t="s">
        <v>1059</v>
      </c>
      <c r="E801" s="475">
        <v>19.145879999999998</v>
      </c>
      <c r="F801" s="475">
        <v>19.145879999999998</v>
      </c>
      <c r="G801" s="475">
        <v>19.145879999999998</v>
      </c>
      <c r="H801" s="475">
        <v>19.145879999999998</v>
      </c>
      <c r="I801" s="471">
        <v>100</v>
      </c>
      <c r="J801" s="471"/>
    </row>
    <row r="802" spans="1:10" ht="76.5" outlineLevel="3">
      <c r="A802" s="467" t="s">
        <v>1042</v>
      </c>
      <c r="B802" s="468" t="s">
        <v>1488</v>
      </c>
      <c r="C802" s="469"/>
      <c r="D802" s="468"/>
      <c r="E802" s="470">
        <v>40</v>
      </c>
      <c r="F802" s="470">
        <v>40</v>
      </c>
      <c r="G802" s="470">
        <v>0</v>
      </c>
      <c r="H802" s="470">
        <v>0</v>
      </c>
      <c r="I802" s="471">
        <v>0</v>
      </c>
      <c r="J802" s="471"/>
    </row>
    <row r="803" spans="1:10" ht="76.5" outlineLevel="4">
      <c r="A803" s="472" t="s">
        <v>1042</v>
      </c>
      <c r="B803" s="473" t="s">
        <v>1488</v>
      </c>
      <c r="C803" s="474" t="s">
        <v>1058</v>
      </c>
      <c r="D803" s="473" t="s">
        <v>1059</v>
      </c>
      <c r="E803" s="475">
        <v>40</v>
      </c>
      <c r="F803" s="475">
        <v>40</v>
      </c>
      <c r="G803" s="475">
        <v>0</v>
      </c>
      <c r="H803" s="475">
        <v>0</v>
      </c>
      <c r="I803" s="471">
        <v>0</v>
      </c>
      <c r="J803" s="471"/>
    </row>
    <row r="804" spans="1:10" ht="63.75" outlineLevel="3">
      <c r="A804" s="467" t="s">
        <v>1465</v>
      </c>
      <c r="B804" s="468" t="s">
        <v>1489</v>
      </c>
      <c r="C804" s="469"/>
      <c r="D804" s="468"/>
      <c r="E804" s="470">
        <v>5000</v>
      </c>
      <c r="F804" s="470">
        <v>5000</v>
      </c>
      <c r="G804" s="470">
        <v>501.94333</v>
      </c>
      <c r="H804" s="470">
        <v>501.94333</v>
      </c>
      <c r="I804" s="471">
        <v>10.039999999999999</v>
      </c>
      <c r="J804" s="471"/>
    </row>
    <row r="805" spans="1:10" ht="63.75" outlineLevel="4">
      <c r="A805" s="472" t="s">
        <v>1465</v>
      </c>
      <c r="B805" s="473" t="s">
        <v>1489</v>
      </c>
      <c r="C805" s="474" t="s">
        <v>1058</v>
      </c>
      <c r="D805" s="473" t="s">
        <v>1059</v>
      </c>
      <c r="E805" s="475">
        <v>5000</v>
      </c>
      <c r="F805" s="475">
        <v>5000</v>
      </c>
      <c r="G805" s="475">
        <v>501.94333</v>
      </c>
      <c r="H805" s="475">
        <v>501.94333</v>
      </c>
      <c r="I805" s="471">
        <v>10.039999999999999</v>
      </c>
      <c r="J805" s="476" t="s">
        <v>10</v>
      </c>
    </row>
    <row r="806" spans="1:10" ht="25.5" outlineLevel="1">
      <c r="A806" s="457" t="s">
        <v>1490</v>
      </c>
      <c r="B806" s="458" t="s">
        <v>1491</v>
      </c>
      <c r="C806" s="459"/>
      <c r="D806" s="458"/>
      <c r="E806" s="460">
        <v>165</v>
      </c>
      <c r="F806" s="460">
        <v>165</v>
      </c>
      <c r="G806" s="460">
        <v>25.64</v>
      </c>
      <c r="H806" s="460">
        <v>25.64</v>
      </c>
      <c r="I806" s="461">
        <v>15.54</v>
      </c>
      <c r="J806" s="461"/>
    </row>
    <row r="807" spans="1:10" ht="89.25" outlineLevel="2">
      <c r="A807" s="462" t="s">
        <v>1492</v>
      </c>
      <c r="B807" s="463" t="s">
        <v>1493</v>
      </c>
      <c r="C807" s="464"/>
      <c r="D807" s="463"/>
      <c r="E807" s="465">
        <v>21</v>
      </c>
      <c r="F807" s="465">
        <v>21</v>
      </c>
      <c r="G807" s="465">
        <v>0</v>
      </c>
      <c r="H807" s="465">
        <v>0</v>
      </c>
      <c r="I807" s="466">
        <v>0</v>
      </c>
      <c r="J807" s="466"/>
    </row>
    <row r="808" spans="1:10" ht="76.5" outlineLevel="3">
      <c r="A808" s="467" t="s">
        <v>1042</v>
      </c>
      <c r="B808" s="468" t="s">
        <v>1494</v>
      </c>
      <c r="C808" s="469"/>
      <c r="D808" s="468"/>
      <c r="E808" s="470">
        <v>21</v>
      </c>
      <c r="F808" s="470">
        <v>21</v>
      </c>
      <c r="G808" s="470">
        <v>0</v>
      </c>
      <c r="H808" s="470">
        <v>0</v>
      </c>
      <c r="I808" s="471">
        <v>0</v>
      </c>
      <c r="J808" s="471"/>
    </row>
    <row r="809" spans="1:10" ht="76.5" outlineLevel="4">
      <c r="A809" s="472" t="s">
        <v>1042</v>
      </c>
      <c r="B809" s="473" t="s">
        <v>1494</v>
      </c>
      <c r="C809" s="474" t="s">
        <v>1058</v>
      </c>
      <c r="D809" s="473" t="s">
        <v>1059</v>
      </c>
      <c r="E809" s="475">
        <v>21</v>
      </c>
      <c r="F809" s="475">
        <v>21</v>
      </c>
      <c r="G809" s="475">
        <v>0</v>
      </c>
      <c r="H809" s="475">
        <v>0</v>
      </c>
      <c r="I809" s="471">
        <v>0</v>
      </c>
      <c r="J809" s="471"/>
    </row>
    <row r="810" spans="1:10" ht="51" outlineLevel="2">
      <c r="A810" s="462" t="s">
        <v>1495</v>
      </c>
      <c r="B810" s="463" t="s">
        <v>1496</v>
      </c>
      <c r="C810" s="464"/>
      <c r="D810" s="463"/>
      <c r="E810" s="465">
        <v>144</v>
      </c>
      <c r="F810" s="465">
        <v>144</v>
      </c>
      <c r="G810" s="465">
        <v>25.64</v>
      </c>
      <c r="H810" s="465">
        <v>25.64</v>
      </c>
      <c r="I810" s="466">
        <v>17.809999999999999</v>
      </c>
      <c r="J810" s="466"/>
    </row>
    <row r="811" spans="1:10" ht="25.5" outlineLevel="3">
      <c r="A811" s="467" t="s">
        <v>1497</v>
      </c>
      <c r="B811" s="468" t="s">
        <v>1498</v>
      </c>
      <c r="C811" s="469"/>
      <c r="D811" s="468"/>
      <c r="E811" s="470">
        <v>144</v>
      </c>
      <c r="F811" s="470">
        <v>144</v>
      </c>
      <c r="G811" s="470">
        <v>25.64</v>
      </c>
      <c r="H811" s="470">
        <v>25.64</v>
      </c>
      <c r="I811" s="471">
        <v>17.809999999999999</v>
      </c>
      <c r="J811" s="471"/>
    </row>
    <row r="812" spans="1:10" ht="25.5" outlineLevel="4">
      <c r="A812" s="472" t="s">
        <v>1497</v>
      </c>
      <c r="B812" s="473" t="s">
        <v>1498</v>
      </c>
      <c r="C812" s="474" t="s">
        <v>1058</v>
      </c>
      <c r="D812" s="473" t="s">
        <v>1059</v>
      </c>
      <c r="E812" s="475">
        <v>144</v>
      </c>
      <c r="F812" s="475">
        <v>144</v>
      </c>
      <c r="G812" s="475">
        <v>25.64</v>
      </c>
      <c r="H812" s="475">
        <v>25.64</v>
      </c>
      <c r="I812" s="471">
        <v>17.809999999999999</v>
      </c>
      <c r="J812" s="471"/>
    </row>
    <row r="813" spans="1:10" ht="63.75" outlineLevel="1">
      <c r="A813" s="457" t="s">
        <v>1499</v>
      </c>
      <c r="B813" s="458" t="s">
        <v>1500</v>
      </c>
      <c r="C813" s="459"/>
      <c r="D813" s="458"/>
      <c r="E813" s="460">
        <v>9883.9635199999993</v>
      </c>
      <c r="F813" s="460">
        <v>9883.9635199999993</v>
      </c>
      <c r="G813" s="460">
        <v>4408.5844999999999</v>
      </c>
      <c r="H813" s="460">
        <v>4408.5844999999999</v>
      </c>
      <c r="I813" s="461">
        <v>44.6</v>
      </c>
      <c r="J813" s="461"/>
    </row>
    <row r="814" spans="1:10" ht="25.5" outlineLevel="2">
      <c r="A814" s="462" t="s">
        <v>1248</v>
      </c>
      <c r="B814" s="463" t="s">
        <v>1501</v>
      </c>
      <c r="C814" s="464"/>
      <c r="D814" s="463"/>
      <c r="E814" s="465">
        <v>9883.9635199999993</v>
      </c>
      <c r="F814" s="465">
        <v>9883.9635199999993</v>
      </c>
      <c r="G814" s="465">
        <v>4408.5844999999999</v>
      </c>
      <c r="H814" s="465">
        <v>4408.5844999999999</v>
      </c>
      <c r="I814" s="466">
        <v>44.6</v>
      </c>
      <c r="J814" s="466"/>
    </row>
    <row r="815" spans="1:10" ht="38.25" outlineLevel="3">
      <c r="A815" s="467" t="s">
        <v>1502</v>
      </c>
      <c r="B815" s="468" t="s">
        <v>1503</v>
      </c>
      <c r="C815" s="469"/>
      <c r="D815" s="468"/>
      <c r="E815" s="470">
        <v>9883.9635199999993</v>
      </c>
      <c r="F815" s="470">
        <v>9883.9635199999993</v>
      </c>
      <c r="G815" s="470">
        <v>4408.5844999999999</v>
      </c>
      <c r="H815" s="470">
        <v>4408.5844999999999</v>
      </c>
      <c r="I815" s="471">
        <v>44.6</v>
      </c>
      <c r="J815" s="471"/>
    </row>
    <row r="816" spans="1:10" ht="38.25" outlineLevel="4">
      <c r="A816" s="472" t="s">
        <v>1502</v>
      </c>
      <c r="B816" s="473" t="s">
        <v>1503</v>
      </c>
      <c r="C816" s="474" t="s">
        <v>1058</v>
      </c>
      <c r="D816" s="473" t="s">
        <v>1059</v>
      </c>
      <c r="E816" s="475">
        <v>9883.9635199999993</v>
      </c>
      <c r="F816" s="475">
        <v>9883.9635199999993</v>
      </c>
      <c r="G816" s="475">
        <v>4408.5844999999999</v>
      </c>
      <c r="H816" s="475">
        <v>4408.5844999999999</v>
      </c>
      <c r="I816" s="471">
        <v>44.6</v>
      </c>
      <c r="J816" s="476" t="s">
        <v>10</v>
      </c>
    </row>
    <row r="817" spans="1:10" ht="45.75" collapsed="1" thickBot="1">
      <c r="A817" s="452" t="s">
        <v>1504</v>
      </c>
      <c r="B817" s="453" t="s">
        <v>1505</v>
      </c>
      <c r="C817" s="454"/>
      <c r="D817" s="453"/>
      <c r="E817" s="455">
        <v>6023340.8241499998</v>
      </c>
      <c r="F817" s="455">
        <v>4466740.94441</v>
      </c>
      <c r="G817" s="455">
        <v>2493551.4554499998</v>
      </c>
      <c r="H817" s="455">
        <v>2349292.1631399998</v>
      </c>
      <c r="I817" s="456">
        <v>39</v>
      </c>
      <c r="J817" s="456"/>
    </row>
    <row r="818" spans="1:10" ht="51" outlineLevel="1">
      <c r="A818" s="457" t="s">
        <v>1506</v>
      </c>
      <c r="B818" s="458" t="s">
        <v>1507</v>
      </c>
      <c r="C818" s="459"/>
      <c r="D818" s="458"/>
      <c r="E818" s="460">
        <v>2107975.7223100001</v>
      </c>
      <c r="F818" s="460">
        <v>1525060.8083200001</v>
      </c>
      <c r="G818" s="460">
        <v>385847.71591999999</v>
      </c>
      <c r="H818" s="460">
        <v>270143.44177999999</v>
      </c>
      <c r="I818" s="461">
        <v>12.82</v>
      </c>
      <c r="J818" s="461"/>
    </row>
    <row r="819" spans="1:10" ht="51" outlineLevel="2">
      <c r="A819" s="462" t="s">
        <v>1508</v>
      </c>
      <c r="B819" s="463" t="s">
        <v>1509</v>
      </c>
      <c r="C819" s="464"/>
      <c r="D819" s="463"/>
      <c r="E819" s="465">
        <v>4965.7</v>
      </c>
      <c r="F819" s="465">
        <v>4965.7</v>
      </c>
      <c r="G819" s="465">
        <v>0</v>
      </c>
      <c r="H819" s="465">
        <v>0</v>
      </c>
      <c r="I819" s="466">
        <v>0</v>
      </c>
      <c r="J819" s="466"/>
    </row>
    <row r="820" spans="1:10" ht="76.5" outlineLevel="3">
      <c r="A820" s="467" t="s">
        <v>1510</v>
      </c>
      <c r="B820" s="468" t="s">
        <v>1511</v>
      </c>
      <c r="C820" s="469"/>
      <c r="D820" s="468"/>
      <c r="E820" s="470">
        <v>2965.7</v>
      </c>
      <c r="F820" s="470">
        <v>2965.7</v>
      </c>
      <c r="G820" s="470">
        <v>0</v>
      </c>
      <c r="H820" s="470">
        <v>0</v>
      </c>
      <c r="I820" s="471">
        <v>0</v>
      </c>
      <c r="J820" s="471"/>
    </row>
    <row r="821" spans="1:10" ht="76.5" outlineLevel="4">
      <c r="A821" s="472" t="s">
        <v>1510</v>
      </c>
      <c r="B821" s="473" t="s">
        <v>1511</v>
      </c>
      <c r="C821" s="474" t="s">
        <v>818</v>
      </c>
      <c r="D821" s="473" t="s">
        <v>819</v>
      </c>
      <c r="E821" s="475">
        <v>2965.7</v>
      </c>
      <c r="F821" s="475">
        <v>2965.7</v>
      </c>
      <c r="G821" s="475">
        <v>0</v>
      </c>
      <c r="H821" s="475">
        <v>0</v>
      </c>
      <c r="I821" s="471">
        <v>0</v>
      </c>
      <c r="J821" s="471"/>
    </row>
    <row r="822" spans="1:10" ht="63.75" outlineLevel="3">
      <c r="A822" s="467" t="s">
        <v>1512</v>
      </c>
      <c r="B822" s="468" t="s">
        <v>1513</v>
      </c>
      <c r="C822" s="469"/>
      <c r="D822" s="468"/>
      <c r="E822" s="470">
        <v>2000</v>
      </c>
      <c r="F822" s="470">
        <v>2000</v>
      </c>
      <c r="G822" s="470">
        <v>0</v>
      </c>
      <c r="H822" s="470">
        <v>0</v>
      </c>
      <c r="I822" s="471">
        <v>0</v>
      </c>
      <c r="J822" s="471"/>
    </row>
    <row r="823" spans="1:10" ht="63.75" outlineLevel="4">
      <c r="A823" s="472" t="s">
        <v>1512</v>
      </c>
      <c r="B823" s="473" t="s">
        <v>1513</v>
      </c>
      <c r="C823" s="474" t="s">
        <v>818</v>
      </c>
      <c r="D823" s="473" t="s">
        <v>819</v>
      </c>
      <c r="E823" s="475">
        <v>2000</v>
      </c>
      <c r="F823" s="475">
        <v>2000</v>
      </c>
      <c r="G823" s="475">
        <v>0</v>
      </c>
      <c r="H823" s="475">
        <v>0</v>
      </c>
      <c r="I823" s="471">
        <v>0</v>
      </c>
      <c r="J823" s="471"/>
    </row>
    <row r="824" spans="1:10" ht="25.5" outlineLevel="2">
      <c r="A824" s="462" t="s">
        <v>1514</v>
      </c>
      <c r="B824" s="463" t="s">
        <v>1515</v>
      </c>
      <c r="C824" s="464"/>
      <c r="D824" s="463"/>
      <c r="E824" s="465">
        <v>93985.02</v>
      </c>
      <c r="F824" s="465">
        <v>53007.7</v>
      </c>
      <c r="G824" s="465">
        <v>0</v>
      </c>
      <c r="H824" s="465">
        <v>0</v>
      </c>
      <c r="I824" s="466">
        <v>0</v>
      </c>
      <c r="J824" s="466"/>
    </row>
    <row r="825" spans="1:10" ht="25.5" outlineLevel="3">
      <c r="A825" s="467" t="s">
        <v>728</v>
      </c>
      <c r="B825" s="468" t="s">
        <v>1516</v>
      </c>
      <c r="C825" s="469"/>
      <c r="D825" s="468"/>
      <c r="E825" s="470">
        <v>10000</v>
      </c>
      <c r="F825" s="470">
        <v>10000</v>
      </c>
      <c r="G825" s="470">
        <v>0</v>
      </c>
      <c r="H825" s="470">
        <v>0</v>
      </c>
      <c r="I825" s="471">
        <v>0</v>
      </c>
      <c r="J825" s="471"/>
    </row>
    <row r="826" spans="1:10" ht="25.5" outlineLevel="4">
      <c r="A826" s="472" t="s">
        <v>728</v>
      </c>
      <c r="B826" s="473" t="s">
        <v>1516</v>
      </c>
      <c r="C826" s="474" t="s">
        <v>1517</v>
      </c>
      <c r="D826" s="473" t="s">
        <v>1518</v>
      </c>
      <c r="E826" s="475">
        <v>10000</v>
      </c>
      <c r="F826" s="475">
        <v>10000</v>
      </c>
      <c r="G826" s="475">
        <v>0</v>
      </c>
      <c r="H826" s="475">
        <v>0</v>
      </c>
      <c r="I826" s="471">
        <v>0</v>
      </c>
      <c r="J826" s="471"/>
    </row>
    <row r="827" spans="1:10" ht="51" outlineLevel="3">
      <c r="A827" s="467" t="s">
        <v>816</v>
      </c>
      <c r="B827" s="468" t="s">
        <v>1519</v>
      </c>
      <c r="C827" s="469"/>
      <c r="D827" s="468"/>
      <c r="E827" s="470">
        <v>43007.7</v>
      </c>
      <c r="F827" s="470">
        <v>43007.7</v>
      </c>
      <c r="G827" s="470">
        <v>0</v>
      </c>
      <c r="H827" s="470">
        <v>0</v>
      </c>
      <c r="I827" s="471">
        <v>0</v>
      </c>
      <c r="J827" s="471"/>
    </row>
    <row r="828" spans="1:10" ht="51" outlineLevel="4">
      <c r="A828" s="472" t="s">
        <v>816</v>
      </c>
      <c r="B828" s="473" t="s">
        <v>1519</v>
      </c>
      <c r="C828" s="474" t="s">
        <v>818</v>
      </c>
      <c r="D828" s="473" t="s">
        <v>819</v>
      </c>
      <c r="E828" s="475">
        <v>43007.7</v>
      </c>
      <c r="F828" s="475">
        <v>43007.7</v>
      </c>
      <c r="G828" s="475">
        <v>0</v>
      </c>
      <c r="H828" s="475">
        <v>0</v>
      </c>
      <c r="I828" s="471">
        <v>0</v>
      </c>
      <c r="J828" s="471"/>
    </row>
    <row r="829" spans="1:10" ht="38.25" outlineLevel="3">
      <c r="A829" s="467" t="s">
        <v>1520</v>
      </c>
      <c r="B829" s="468" t="s">
        <v>1521</v>
      </c>
      <c r="C829" s="469"/>
      <c r="D829" s="468"/>
      <c r="E829" s="470">
        <v>40977.32</v>
      </c>
      <c r="F829" s="470">
        <v>0</v>
      </c>
      <c r="G829" s="470">
        <v>0</v>
      </c>
      <c r="H829" s="470">
        <v>0</v>
      </c>
      <c r="I829" s="471">
        <v>0</v>
      </c>
      <c r="J829" s="471"/>
    </row>
    <row r="830" spans="1:10" ht="38.25" outlineLevel="4">
      <c r="A830" s="472" t="s">
        <v>1520</v>
      </c>
      <c r="B830" s="473" t="s">
        <v>1521</v>
      </c>
      <c r="C830" s="474" t="s">
        <v>818</v>
      </c>
      <c r="D830" s="473" t="s">
        <v>819</v>
      </c>
      <c r="E830" s="475">
        <v>40977.32</v>
      </c>
      <c r="F830" s="475">
        <v>0</v>
      </c>
      <c r="G830" s="475">
        <v>0</v>
      </c>
      <c r="H830" s="475">
        <v>0</v>
      </c>
      <c r="I830" s="471">
        <v>0</v>
      </c>
      <c r="J830" s="471"/>
    </row>
    <row r="831" spans="1:10" ht="76.5" outlineLevel="2">
      <c r="A831" s="462" t="s">
        <v>1522</v>
      </c>
      <c r="B831" s="463" t="s">
        <v>1523</v>
      </c>
      <c r="C831" s="464"/>
      <c r="D831" s="463"/>
      <c r="E831" s="465">
        <v>2420.1</v>
      </c>
      <c r="F831" s="465">
        <v>2420.1</v>
      </c>
      <c r="G831" s="465">
        <v>1200</v>
      </c>
      <c r="H831" s="465">
        <v>1200</v>
      </c>
      <c r="I831" s="466">
        <v>49.58</v>
      </c>
      <c r="J831" s="466"/>
    </row>
    <row r="832" spans="1:10" ht="25.5" outlineLevel="3">
      <c r="A832" s="467" t="s">
        <v>728</v>
      </c>
      <c r="B832" s="468" t="s">
        <v>1524</v>
      </c>
      <c r="C832" s="469"/>
      <c r="D832" s="468"/>
      <c r="E832" s="470">
        <v>2420.1</v>
      </c>
      <c r="F832" s="470">
        <v>2420.1</v>
      </c>
      <c r="G832" s="470">
        <v>1200</v>
      </c>
      <c r="H832" s="470">
        <v>1200</v>
      </c>
      <c r="I832" s="471">
        <v>49.58</v>
      </c>
      <c r="J832" s="471"/>
    </row>
    <row r="833" spans="1:10" ht="25.5" outlineLevel="4">
      <c r="A833" s="472" t="s">
        <v>728</v>
      </c>
      <c r="B833" s="473" t="s">
        <v>1524</v>
      </c>
      <c r="C833" s="474" t="s">
        <v>818</v>
      </c>
      <c r="D833" s="473" t="s">
        <v>819</v>
      </c>
      <c r="E833" s="475">
        <v>2420.1</v>
      </c>
      <c r="F833" s="475">
        <v>2420.1</v>
      </c>
      <c r="G833" s="475">
        <v>1200</v>
      </c>
      <c r="H833" s="475">
        <v>1200</v>
      </c>
      <c r="I833" s="471">
        <v>49.58</v>
      </c>
      <c r="J833" s="471"/>
    </row>
    <row r="834" spans="1:10" ht="38.25" outlineLevel="2">
      <c r="A834" s="462" t="s">
        <v>1525</v>
      </c>
      <c r="B834" s="463" t="s">
        <v>1526</v>
      </c>
      <c r="C834" s="464"/>
      <c r="D834" s="463"/>
      <c r="E834" s="465">
        <v>122986.4</v>
      </c>
      <c r="F834" s="465">
        <v>122986.4</v>
      </c>
      <c r="G834" s="465">
        <v>0</v>
      </c>
      <c r="H834" s="465">
        <v>0</v>
      </c>
      <c r="I834" s="466">
        <v>0</v>
      </c>
      <c r="J834" s="466"/>
    </row>
    <row r="835" spans="1:10" ht="51" outlineLevel="3">
      <c r="A835" s="467" t="s">
        <v>816</v>
      </c>
      <c r="B835" s="468" t="s">
        <v>1527</v>
      </c>
      <c r="C835" s="469"/>
      <c r="D835" s="468"/>
      <c r="E835" s="470">
        <v>122986.4</v>
      </c>
      <c r="F835" s="470">
        <v>122986.4</v>
      </c>
      <c r="G835" s="470">
        <v>0</v>
      </c>
      <c r="H835" s="470">
        <v>0</v>
      </c>
      <c r="I835" s="471">
        <v>0</v>
      </c>
      <c r="J835" s="471"/>
    </row>
    <row r="836" spans="1:10" ht="51" outlineLevel="4">
      <c r="A836" s="472" t="s">
        <v>816</v>
      </c>
      <c r="B836" s="473" t="s">
        <v>1527</v>
      </c>
      <c r="C836" s="474" t="s">
        <v>818</v>
      </c>
      <c r="D836" s="473" t="s">
        <v>819</v>
      </c>
      <c r="E836" s="475">
        <v>122986.4</v>
      </c>
      <c r="F836" s="475">
        <v>122986.4</v>
      </c>
      <c r="G836" s="475">
        <v>0</v>
      </c>
      <c r="H836" s="475">
        <v>0</v>
      </c>
      <c r="I836" s="471">
        <v>0</v>
      </c>
      <c r="J836" s="471"/>
    </row>
    <row r="837" spans="1:10" ht="38.25" outlineLevel="2">
      <c r="A837" s="462" t="s">
        <v>1528</v>
      </c>
      <c r="B837" s="463" t="s">
        <v>1529</v>
      </c>
      <c r="C837" s="464"/>
      <c r="D837" s="463"/>
      <c r="E837" s="465">
        <v>146070.29999999999</v>
      </c>
      <c r="F837" s="465">
        <v>9078</v>
      </c>
      <c r="G837" s="465">
        <v>3138.7857300000001</v>
      </c>
      <c r="H837" s="465">
        <v>3138.7857300000001</v>
      </c>
      <c r="I837" s="466">
        <v>2.15</v>
      </c>
      <c r="J837" s="466"/>
    </row>
    <row r="838" spans="1:10" ht="51" outlineLevel="3">
      <c r="A838" s="467" t="s">
        <v>1530</v>
      </c>
      <c r="B838" s="468" t="s">
        <v>1531</v>
      </c>
      <c r="C838" s="469"/>
      <c r="D838" s="468"/>
      <c r="E838" s="470">
        <v>3800</v>
      </c>
      <c r="F838" s="470">
        <v>3800</v>
      </c>
      <c r="G838" s="470">
        <v>0</v>
      </c>
      <c r="H838" s="470">
        <v>0</v>
      </c>
      <c r="I838" s="471">
        <v>0</v>
      </c>
      <c r="J838" s="471"/>
    </row>
    <row r="839" spans="1:10" ht="51" outlineLevel="4">
      <c r="A839" s="472" t="s">
        <v>1530</v>
      </c>
      <c r="B839" s="473" t="s">
        <v>1531</v>
      </c>
      <c r="C839" s="474" t="s">
        <v>818</v>
      </c>
      <c r="D839" s="473" t="s">
        <v>819</v>
      </c>
      <c r="E839" s="475">
        <v>3800</v>
      </c>
      <c r="F839" s="475">
        <v>3800</v>
      </c>
      <c r="G839" s="475">
        <v>0</v>
      </c>
      <c r="H839" s="475">
        <v>0</v>
      </c>
      <c r="I839" s="471">
        <v>0</v>
      </c>
      <c r="J839" s="471"/>
    </row>
    <row r="840" spans="1:10" ht="63.75" outlineLevel="3">
      <c r="A840" s="467" t="s">
        <v>1532</v>
      </c>
      <c r="B840" s="468" t="s">
        <v>1533</v>
      </c>
      <c r="C840" s="469"/>
      <c r="D840" s="468"/>
      <c r="E840" s="470">
        <v>878</v>
      </c>
      <c r="F840" s="470">
        <v>878</v>
      </c>
      <c r="G840" s="470">
        <v>0</v>
      </c>
      <c r="H840" s="470">
        <v>0</v>
      </c>
      <c r="I840" s="471">
        <v>0</v>
      </c>
      <c r="J840" s="471"/>
    </row>
    <row r="841" spans="1:10" ht="63.75" outlineLevel="4">
      <c r="A841" s="472" t="s">
        <v>1532</v>
      </c>
      <c r="B841" s="473" t="s">
        <v>1533</v>
      </c>
      <c r="C841" s="474" t="s">
        <v>818</v>
      </c>
      <c r="D841" s="473" t="s">
        <v>819</v>
      </c>
      <c r="E841" s="475">
        <v>878</v>
      </c>
      <c r="F841" s="475">
        <v>878</v>
      </c>
      <c r="G841" s="475">
        <v>0</v>
      </c>
      <c r="H841" s="475">
        <v>0</v>
      </c>
      <c r="I841" s="471">
        <v>0</v>
      </c>
      <c r="J841" s="471"/>
    </row>
    <row r="842" spans="1:10" ht="25.5" outlineLevel="3">
      <c r="A842" s="467" t="s">
        <v>1534</v>
      </c>
      <c r="B842" s="468" t="s">
        <v>1535</v>
      </c>
      <c r="C842" s="469"/>
      <c r="D842" s="468"/>
      <c r="E842" s="470">
        <v>4400</v>
      </c>
      <c r="F842" s="470">
        <v>4400</v>
      </c>
      <c r="G842" s="470">
        <v>3138.7857300000001</v>
      </c>
      <c r="H842" s="470">
        <v>3138.7857300000001</v>
      </c>
      <c r="I842" s="471">
        <v>71.34</v>
      </c>
      <c r="J842" s="471"/>
    </row>
    <row r="843" spans="1:10" ht="25.5" outlineLevel="4">
      <c r="A843" s="472" t="s">
        <v>1534</v>
      </c>
      <c r="B843" s="473" t="s">
        <v>1535</v>
      </c>
      <c r="C843" s="474" t="s">
        <v>818</v>
      </c>
      <c r="D843" s="473" t="s">
        <v>819</v>
      </c>
      <c r="E843" s="475">
        <v>4400</v>
      </c>
      <c r="F843" s="475">
        <v>4400</v>
      </c>
      <c r="G843" s="475">
        <v>3138.7857300000001</v>
      </c>
      <c r="H843" s="475">
        <v>3138.7857300000001</v>
      </c>
      <c r="I843" s="471">
        <v>71.34</v>
      </c>
      <c r="J843" s="471"/>
    </row>
    <row r="844" spans="1:10" ht="25.5" outlineLevel="3">
      <c r="A844" s="467" t="s">
        <v>1536</v>
      </c>
      <c r="B844" s="468" t="s">
        <v>1537</v>
      </c>
      <c r="C844" s="469"/>
      <c r="D844" s="468"/>
      <c r="E844" s="470">
        <v>30000</v>
      </c>
      <c r="F844" s="470">
        <v>0</v>
      </c>
      <c r="G844" s="470">
        <v>0</v>
      </c>
      <c r="H844" s="470">
        <v>0</v>
      </c>
      <c r="I844" s="471">
        <v>0</v>
      </c>
      <c r="J844" s="471"/>
    </row>
    <row r="845" spans="1:10" ht="25.5" outlineLevel="4">
      <c r="A845" s="472" t="s">
        <v>1536</v>
      </c>
      <c r="B845" s="473" t="s">
        <v>1537</v>
      </c>
      <c r="C845" s="474" t="s">
        <v>818</v>
      </c>
      <c r="D845" s="473" t="s">
        <v>819</v>
      </c>
      <c r="E845" s="475">
        <v>30000</v>
      </c>
      <c r="F845" s="475">
        <v>0</v>
      </c>
      <c r="G845" s="475">
        <v>0</v>
      </c>
      <c r="H845" s="475">
        <v>0</v>
      </c>
      <c r="I845" s="471">
        <v>0</v>
      </c>
      <c r="J845" s="471"/>
    </row>
    <row r="846" spans="1:10" ht="255" outlineLevel="3">
      <c r="A846" s="467" t="s">
        <v>1538</v>
      </c>
      <c r="B846" s="468" t="s">
        <v>1539</v>
      </c>
      <c r="C846" s="469"/>
      <c r="D846" s="468"/>
      <c r="E846" s="470">
        <v>106992.3</v>
      </c>
      <c r="F846" s="470">
        <v>0</v>
      </c>
      <c r="G846" s="470">
        <v>0</v>
      </c>
      <c r="H846" s="470">
        <v>0</v>
      </c>
      <c r="I846" s="471">
        <v>0</v>
      </c>
      <c r="J846" s="471"/>
    </row>
    <row r="847" spans="1:10" ht="255" outlineLevel="4">
      <c r="A847" s="472" t="s">
        <v>1538</v>
      </c>
      <c r="B847" s="473" t="s">
        <v>1539</v>
      </c>
      <c r="C847" s="474" t="s">
        <v>818</v>
      </c>
      <c r="D847" s="473" t="s">
        <v>819</v>
      </c>
      <c r="E847" s="475">
        <v>106992.3</v>
      </c>
      <c r="F847" s="475">
        <v>0</v>
      </c>
      <c r="G847" s="475">
        <v>0</v>
      </c>
      <c r="H847" s="475">
        <v>0</v>
      </c>
      <c r="I847" s="471">
        <v>0</v>
      </c>
      <c r="J847" s="471"/>
    </row>
    <row r="848" spans="1:10" ht="76.5" outlineLevel="2">
      <c r="A848" s="462" t="s">
        <v>1540</v>
      </c>
      <c r="B848" s="463" t="s">
        <v>1541</v>
      </c>
      <c r="C848" s="464"/>
      <c r="D848" s="463"/>
      <c r="E848" s="465">
        <v>129848.8</v>
      </c>
      <c r="F848" s="465">
        <v>129848.8</v>
      </c>
      <c r="G848" s="465">
        <v>129848.8</v>
      </c>
      <c r="H848" s="465">
        <v>32243.931140000001</v>
      </c>
      <c r="I848" s="466">
        <v>24.83</v>
      </c>
      <c r="J848" s="466"/>
    </row>
    <row r="849" spans="1:10" ht="89.25" outlineLevel="3">
      <c r="A849" s="467" t="s">
        <v>1542</v>
      </c>
      <c r="B849" s="468" t="s">
        <v>1543</v>
      </c>
      <c r="C849" s="469"/>
      <c r="D849" s="468"/>
      <c r="E849" s="470">
        <v>3951.1</v>
      </c>
      <c r="F849" s="470">
        <v>3951.1</v>
      </c>
      <c r="G849" s="470">
        <v>3951.1</v>
      </c>
      <c r="H849" s="470">
        <v>3951.1</v>
      </c>
      <c r="I849" s="471">
        <v>100</v>
      </c>
      <c r="J849" s="471"/>
    </row>
    <row r="850" spans="1:10" ht="89.25" outlineLevel="4">
      <c r="A850" s="472" t="s">
        <v>1542</v>
      </c>
      <c r="B850" s="473" t="s">
        <v>1543</v>
      </c>
      <c r="C850" s="474" t="s">
        <v>818</v>
      </c>
      <c r="D850" s="473" t="s">
        <v>819</v>
      </c>
      <c r="E850" s="475">
        <v>3951.1</v>
      </c>
      <c r="F850" s="475">
        <v>3951.1</v>
      </c>
      <c r="G850" s="475">
        <v>3951.1</v>
      </c>
      <c r="H850" s="475">
        <v>3951.1</v>
      </c>
      <c r="I850" s="471">
        <v>100</v>
      </c>
      <c r="J850" s="476" t="s">
        <v>10</v>
      </c>
    </row>
    <row r="851" spans="1:10" ht="76.5" outlineLevel="3">
      <c r="A851" s="467" t="s">
        <v>1544</v>
      </c>
      <c r="B851" s="468" t="s">
        <v>1545</v>
      </c>
      <c r="C851" s="469"/>
      <c r="D851" s="468"/>
      <c r="E851" s="470">
        <v>6394.5</v>
      </c>
      <c r="F851" s="470">
        <v>6394.5</v>
      </c>
      <c r="G851" s="470">
        <v>6394.5</v>
      </c>
      <c r="H851" s="470">
        <v>6394.5</v>
      </c>
      <c r="I851" s="471">
        <v>100</v>
      </c>
      <c r="J851" s="471"/>
    </row>
    <row r="852" spans="1:10" ht="76.5" outlineLevel="4">
      <c r="A852" s="472" t="s">
        <v>1544</v>
      </c>
      <c r="B852" s="473" t="s">
        <v>1545</v>
      </c>
      <c r="C852" s="474" t="s">
        <v>818</v>
      </c>
      <c r="D852" s="473" t="s">
        <v>819</v>
      </c>
      <c r="E852" s="475">
        <v>6394.5</v>
      </c>
      <c r="F852" s="475">
        <v>6394.5</v>
      </c>
      <c r="G852" s="475">
        <v>6394.5</v>
      </c>
      <c r="H852" s="475">
        <v>6394.5</v>
      </c>
      <c r="I852" s="471">
        <v>100</v>
      </c>
      <c r="J852" s="476" t="s">
        <v>10</v>
      </c>
    </row>
    <row r="853" spans="1:10" ht="63.75" outlineLevel="3">
      <c r="A853" s="467" t="s">
        <v>1546</v>
      </c>
      <c r="B853" s="468" t="s">
        <v>1547</v>
      </c>
      <c r="C853" s="469"/>
      <c r="D853" s="468"/>
      <c r="E853" s="470">
        <v>119503.2</v>
      </c>
      <c r="F853" s="470">
        <v>119503.2</v>
      </c>
      <c r="G853" s="470">
        <v>119503.2</v>
      </c>
      <c r="H853" s="470">
        <v>21898.331139999998</v>
      </c>
      <c r="I853" s="471">
        <v>18.32</v>
      </c>
      <c r="J853" s="471"/>
    </row>
    <row r="854" spans="1:10" ht="63.75" outlineLevel="4">
      <c r="A854" s="472" t="s">
        <v>1546</v>
      </c>
      <c r="B854" s="473" t="s">
        <v>1547</v>
      </c>
      <c r="C854" s="474" t="s">
        <v>818</v>
      </c>
      <c r="D854" s="473" t="s">
        <v>819</v>
      </c>
      <c r="E854" s="475">
        <v>119503.2</v>
      </c>
      <c r="F854" s="475">
        <v>119503.2</v>
      </c>
      <c r="G854" s="475">
        <v>119503.2</v>
      </c>
      <c r="H854" s="475">
        <v>21898.331139999998</v>
      </c>
      <c r="I854" s="471">
        <v>18.32</v>
      </c>
      <c r="J854" s="471"/>
    </row>
    <row r="855" spans="1:10" ht="51" outlineLevel="2">
      <c r="A855" s="462" t="s">
        <v>1548</v>
      </c>
      <c r="B855" s="463" t="s">
        <v>1549</v>
      </c>
      <c r="C855" s="464"/>
      <c r="D855" s="463"/>
      <c r="E855" s="465">
        <v>54798.6</v>
      </c>
      <c r="F855" s="465">
        <v>54798.6</v>
      </c>
      <c r="G855" s="465">
        <v>54796.56</v>
      </c>
      <c r="H855" s="465">
        <v>54411.898099999999</v>
      </c>
      <c r="I855" s="466">
        <v>99.29</v>
      </c>
      <c r="J855" s="466"/>
    </row>
    <row r="856" spans="1:10" ht="25.5" outlineLevel="3">
      <c r="A856" s="467" t="s">
        <v>728</v>
      </c>
      <c r="B856" s="468" t="s">
        <v>1550</v>
      </c>
      <c r="C856" s="469"/>
      <c r="D856" s="468"/>
      <c r="E856" s="470">
        <v>4.5</v>
      </c>
      <c r="F856" s="470">
        <v>4.5</v>
      </c>
      <c r="G856" s="470">
        <v>2.46</v>
      </c>
      <c r="H856" s="470">
        <v>0</v>
      </c>
      <c r="I856" s="471">
        <v>0</v>
      </c>
      <c r="J856" s="471"/>
    </row>
    <row r="857" spans="1:10" ht="25.5" outlineLevel="4">
      <c r="A857" s="472" t="s">
        <v>728</v>
      </c>
      <c r="B857" s="473" t="s">
        <v>1550</v>
      </c>
      <c r="C857" s="474" t="s">
        <v>818</v>
      </c>
      <c r="D857" s="473" t="s">
        <v>819</v>
      </c>
      <c r="E857" s="475">
        <v>4.5</v>
      </c>
      <c r="F857" s="475">
        <v>4.5</v>
      </c>
      <c r="G857" s="475">
        <v>2.46</v>
      </c>
      <c r="H857" s="475">
        <v>0</v>
      </c>
      <c r="I857" s="471">
        <v>0</v>
      </c>
      <c r="J857" s="471"/>
    </row>
    <row r="858" spans="1:10" ht="25.5" outlineLevel="3">
      <c r="A858" s="467" t="s">
        <v>1551</v>
      </c>
      <c r="B858" s="468" t="s">
        <v>1552</v>
      </c>
      <c r="C858" s="469"/>
      <c r="D858" s="468"/>
      <c r="E858" s="470">
        <v>54794.1</v>
      </c>
      <c r="F858" s="470">
        <v>54794.1</v>
      </c>
      <c r="G858" s="470">
        <v>54794.1</v>
      </c>
      <c r="H858" s="470">
        <v>54411.898099999999</v>
      </c>
      <c r="I858" s="471">
        <v>99.3</v>
      </c>
      <c r="J858" s="471"/>
    </row>
    <row r="859" spans="1:10" ht="25.5" outlineLevel="4">
      <c r="A859" s="472" t="s">
        <v>1551</v>
      </c>
      <c r="B859" s="473" t="s">
        <v>1552</v>
      </c>
      <c r="C859" s="474" t="s">
        <v>818</v>
      </c>
      <c r="D859" s="473" t="s">
        <v>819</v>
      </c>
      <c r="E859" s="475">
        <v>54794.1</v>
      </c>
      <c r="F859" s="475">
        <v>54794.1</v>
      </c>
      <c r="G859" s="475">
        <v>54794.1</v>
      </c>
      <c r="H859" s="475">
        <v>54411.898099999999</v>
      </c>
      <c r="I859" s="471">
        <v>99.3</v>
      </c>
      <c r="J859" s="471"/>
    </row>
    <row r="860" spans="1:10" ht="76.5" outlineLevel="2">
      <c r="A860" s="462" t="s">
        <v>1553</v>
      </c>
      <c r="B860" s="463" t="s">
        <v>1554</v>
      </c>
      <c r="C860" s="464"/>
      <c r="D860" s="463"/>
      <c r="E860" s="465">
        <v>866492.56610000005</v>
      </c>
      <c r="F860" s="465">
        <v>461547.27211000002</v>
      </c>
      <c r="G860" s="465">
        <v>72351.705579999994</v>
      </c>
      <c r="H860" s="465">
        <v>72240.91906</v>
      </c>
      <c r="I860" s="466">
        <v>8.34</v>
      </c>
      <c r="J860" s="466"/>
    </row>
    <row r="861" spans="1:10" ht="76.5" outlineLevel="3">
      <c r="A861" s="467" t="s">
        <v>1555</v>
      </c>
      <c r="B861" s="468" t="s">
        <v>1556</v>
      </c>
      <c r="C861" s="469"/>
      <c r="D861" s="468"/>
      <c r="E861" s="470">
        <v>109133.735</v>
      </c>
      <c r="F861" s="470">
        <v>109133.735</v>
      </c>
      <c r="G861" s="470">
        <v>54566.8675</v>
      </c>
      <c r="H861" s="470">
        <v>54566.8675</v>
      </c>
      <c r="I861" s="471">
        <v>50</v>
      </c>
      <c r="J861" s="471"/>
    </row>
    <row r="862" spans="1:10" ht="76.5" outlineLevel="4">
      <c r="A862" s="472" t="s">
        <v>1555</v>
      </c>
      <c r="B862" s="473" t="s">
        <v>1556</v>
      </c>
      <c r="C862" s="474" t="s">
        <v>818</v>
      </c>
      <c r="D862" s="473" t="s">
        <v>819</v>
      </c>
      <c r="E862" s="475">
        <v>109133.735</v>
      </c>
      <c r="F862" s="475">
        <v>109133.735</v>
      </c>
      <c r="G862" s="475">
        <v>54566.8675</v>
      </c>
      <c r="H862" s="475">
        <v>54566.8675</v>
      </c>
      <c r="I862" s="471">
        <v>50</v>
      </c>
      <c r="J862" s="471"/>
    </row>
    <row r="863" spans="1:10" ht="51" outlineLevel="3">
      <c r="A863" s="467" t="s">
        <v>1557</v>
      </c>
      <c r="B863" s="468" t="s">
        <v>1558</v>
      </c>
      <c r="C863" s="469"/>
      <c r="D863" s="468"/>
      <c r="E863" s="470">
        <v>691748.59447999997</v>
      </c>
      <c r="F863" s="470">
        <v>286803.30048999999</v>
      </c>
      <c r="G863" s="470">
        <v>0</v>
      </c>
      <c r="H863" s="470">
        <v>0</v>
      </c>
      <c r="I863" s="471">
        <v>0</v>
      </c>
      <c r="J863" s="471"/>
    </row>
    <row r="864" spans="1:10" ht="51" outlineLevel="4">
      <c r="A864" s="472" t="s">
        <v>1557</v>
      </c>
      <c r="B864" s="473" t="s">
        <v>1558</v>
      </c>
      <c r="C864" s="474" t="s">
        <v>818</v>
      </c>
      <c r="D864" s="473" t="s">
        <v>819</v>
      </c>
      <c r="E864" s="475">
        <v>691748.59447999997</v>
      </c>
      <c r="F864" s="475">
        <v>286803.30048999999</v>
      </c>
      <c r="G864" s="475">
        <v>0</v>
      </c>
      <c r="H864" s="475">
        <v>0</v>
      </c>
      <c r="I864" s="471">
        <v>0</v>
      </c>
      <c r="J864" s="471"/>
    </row>
    <row r="865" spans="1:10" ht="51" outlineLevel="3">
      <c r="A865" s="467" t="s">
        <v>1559</v>
      </c>
      <c r="B865" s="468" t="s">
        <v>1560</v>
      </c>
      <c r="C865" s="469"/>
      <c r="D865" s="468"/>
      <c r="E865" s="470">
        <v>65610.236619999996</v>
      </c>
      <c r="F865" s="470">
        <v>65610.236619999996</v>
      </c>
      <c r="G865" s="470">
        <v>17784.838080000001</v>
      </c>
      <c r="H865" s="470">
        <v>17674.05156</v>
      </c>
      <c r="I865" s="471">
        <v>26.94</v>
      </c>
      <c r="J865" s="471"/>
    </row>
    <row r="866" spans="1:10" ht="51" outlineLevel="4">
      <c r="A866" s="472" t="s">
        <v>1559</v>
      </c>
      <c r="B866" s="473" t="s">
        <v>1560</v>
      </c>
      <c r="C866" s="474" t="s">
        <v>818</v>
      </c>
      <c r="D866" s="473" t="s">
        <v>819</v>
      </c>
      <c r="E866" s="475">
        <v>65610.236619999996</v>
      </c>
      <c r="F866" s="475">
        <v>65610.236619999996</v>
      </c>
      <c r="G866" s="475">
        <v>17784.838080000001</v>
      </c>
      <c r="H866" s="475">
        <v>17674.05156</v>
      </c>
      <c r="I866" s="471">
        <v>26.94</v>
      </c>
      <c r="J866" s="471"/>
    </row>
    <row r="867" spans="1:10" outlineLevel="2">
      <c r="A867" s="462" t="s">
        <v>1561</v>
      </c>
      <c r="B867" s="463" t="s">
        <v>1562</v>
      </c>
      <c r="C867" s="464"/>
      <c r="D867" s="463"/>
      <c r="E867" s="465">
        <v>66234.650210000007</v>
      </c>
      <c r="F867" s="465">
        <v>66234.650210000007</v>
      </c>
      <c r="G867" s="465">
        <v>7151.7538100000002</v>
      </c>
      <c r="H867" s="465">
        <v>7151.7538100000002</v>
      </c>
      <c r="I867" s="466">
        <v>10.8</v>
      </c>
      <c r="J867" s="466"/>
    </row>
    <row r="868" spans="1:10" ht="76.5" outlineLevel="3">
      <c r="A868" s="467" t="s">
        <v>1510</v>
      </c>
      <c r="B868" s="468" t="s">
        <v>1563</v>
      </c>
      <c r="C868" s="469"/>
      <c r="D868" s="468"/>
      <c r="E868" s="470">
        <v>66234.650210000007</v>
      </c>
      <c r="F868" s="470">
        <v>66234.650210000007</v>
      </c>
      <c r="G868" s="470">
        <v>7151.7538100000002</v>
      </c>
      <c r="H868" s="470">
        <v>7151.7538100000002</v>
      </c>
      <c r="I868" s="471">
        <v>10.8</v>
      </c>
      <c r="J868" s="471"/>
    </row>
    <row r="869" spans="1:10" ht="76.5" outlineLevel="4">
      <c r="A869" s="472" t="s">
        <v>1510</v>
      </c>
      <c r="B869" s="473" t="s">
        <v>1563</v>
      </c>
      <c r="C869" s="474" t="s">
        <v>818</v>
      </c>
      <c r="D869" s="473" t="s">
        <v>819</v>
      </c>
      <c r="E869" s="475">
        <v>66234.650210000007</v>
      </c>
      <c r="F869" s="475">
        <v>66234.650210000007</v>
      </c>
      <c r="G869" s="475">
        <v>7151.7538100000002</v>
      </c>
      <c r="H869" s="475">
        <v>7151.7538100000002</v>
      </c>
      <c r="I869" s="471">
        <v>10.8</v>
      </c>
      <c r="J869" s="471"/>
    </row>
    <row r="870" spans="1:10" ht="38.25" outlineLevel="2">
      <c r="A870" s="462" t="s">
        <v>1564</v>
      </c>
      <c r="B870" s="463" t="s">
        <v>1565</v>
      </c>
      <c r="C870" s="464"/>
      <c r="D870" s="463"/>
      <c r="E870" s="465">
        <v>564387.13600000006</v>
      </c>
      <c r="F870" s="465">
        <v>564387.13600000006</v>
      </c>
      <c r="G870" s="465">
        <v>102540.08702000001</v>
      </c>
      <c r="H870" s="465">
        <v>86919.141019999995</v>
      </c>
      <c r="I870" s="466">
        <v>15.4</v>
      </c>
      <c r="J870" s="466"/>
    </row>
    <row r="871" spans="1:10" ht="114.75" outlineLevel="3">
      <c r="A871" s="467" t="s">
        <v>1566</v>
      </c>
      <c r="B871" s="468" t="s">
        <v>1567</v>
      </c>
      <c r="C871" s="469"/>
      <c r="D871" s="468"/>
      <c r="E871" s="470">
        <v>506273.39241999999</v>
      </c>
      <c r="F871" s="470">
        <v>506273.39241999999</v>
      </c>
      <c r="G871" s="470">
        <v>94954.691319999998</v>
      </c>
      <c r="H871" s="470">
        <v>80578.089760000003</v>
      </c>
      <c r="I871" s="471">
        <v>15.92</v>
      </c>
      <c r="J871" s="471"/>
    </row>
    <row r="872" spans="1:10" ht="114.75" outlineLevel="4">
      <c r="A872" s="472" t="s">
        <v>1566</v>
      </c>
      <c r="B872" s="473" t="s">
        <v>1567</v>
      </c>
      <c r="C872" s="474" t="s">
        <v>818</v>
      </c>
      <c r="D872" s="473" t="s">
        <v>819</v>
      </c>
      <c r="E872" s="475">
        <v>506273.39241999999</v>
      </c>
      <c r="F872" s="475">
        <v>506273.39241999999</v>
      </c>
      <c r="G872" s="475">
        <v>94954.691319999998</v>
      </c>
      <c r="H872" s="475">
        <v>80578.089760000003</v>
      </c>
      <c r="I872" s="471">
        <v>15.92</v>
      </c>
      <c r="J872" s="471"/>
    </row>
    <row r="873" spans="1:10" ht="76.5" outlineLevel="3">
      <c r="A873" s="467" t="s">
        <v>1568</v>
      </c>
      <c r="B873" s="468" t="s">
        <v>1569</v>
      </c>
      <c r="C873" s="469"/>
      <c r="D873" s="468"/>
      <c r="E873" s="470">
        <v>58113.743580000002</v>
      </c>
      <c r="F873" s="470">
        <v>58113.743580000002</v>
      </c>
      <c r="G873" s="470">
        <v>7585.3957</v>
      </c>
      <c r="H873" s="470">
        <v>6341.0512600000002</v>
      </c>
      <c r="I873" s="471">
        <v>10.91</v>
      </c>
      <c r="J873" s="471"/>
    </row>
    <row r="874" spans="1:10" ht="76.5" outlineLevel="4">
      <c r="A874" s="472" t="s">
        <v>1568</v>
      </c>
      <c r="B874" s="473" t="s">
        <v>1569</v>
      </c>
      <c r="C874" s="474" t="s">
        <v>818</v>
      </c>
      <c r="D874" s="473" t="s">
        <v>819</v>
      </c>
      <c r="E874" s="475">
        <v>58113.743580000002</v>
      </c>
      <c r="F874" s="475">
        <v>58113.743580000002</v>
      </c>
      <c r="G874" s="475">
        <v>7585.3957</v>
      </c>
      <c r="H874" s="475">
        <v>6341.0512600000002</v>
      </c>
      <c r="I874" s="471">
        <v>10.91</v>
      </c>
      <c r="J874" s="471"/>
    </row>
    <row r="875" spans="1:10" outlineLevel="2">
      <c r="A875" s="462" t="s">
        <v>1570</v>
      </c>
      <c r="B875" s="463" t="s">
        <v>1571</v>
      </c>
      <c r="C875" s="464"/>
      <c r="D875" s="463"/>
      <c r="E875" s="465">
        <v>55786.45</v>
      </c>
      <c r="F875" s="465">
        <v>55786.45</v>
      </c>
      <c r="G875" s="465">
        <v>14820.02378</v>
      </c>
      <c r="H875" s="465">
        <v>12837.012919999999</v>
      </c>
      <c r="I875" s="466">
        <v>23.01</v>
      </c>
      <c r="J875" s="466"/>
    </row>
    <row r="876" spans="1:10" ht="38.25" outlineLevel="3">
      <c r="A876" s="467" t="s">
        <v>1572</v>
      </c>
      <c r="B876" s="468" t="s">
        <v>1573</v>
      </c>
      <c r="C876" s="469"/>
      <c r="D876" s="468"/>
      <c r="E876" s="470">
        <v>55786.45</v>
      </c>
      <c r="F876" s="470">
        <v>55786.45</v>
      </c>
      <c r="G876" s="470">
        <v>14820.02378</v>
      </c>
      <c r="H876" s="470">
        <v>12837.012919999999</v>
      </c>
      <c r="I876" s="471">
        <v>23.01</v>
      </c>
      <c r="J876" s="471"/>
    </row>
    <row r="877" spans="1:10" ht="38.25" outlineLevel="4">
      <c r="A877" s="472" t="s">
        <v>1572</v>
      </c>
      <c r="B877" s="473" t="s">
        <v>1573</v>
      </c>
      <c r="C877" s="474" t="s">
        <v>818</v>
      </c>
      <c r="D877" s="473" t="s">
        <v>819</v>
      </c>
      <c r="E877" s="475">
        <v>55786.45</v>
      </c>
      <c r="F877" s="475">
        <v>55786.45</v>
      </c>
      <c r="G877" s="475">
        <v>14820.02378</v>
      </c>
      <c r="H877" s="475">
        <v>12837.012919999999</v>
      </c>
      <c r="I877" s="471">
        <v>23.01</v>
      </c>
      <c r="J877" s="476" t="s">
        <v>10</v>
      </c>
    </row>
    <row r="878" spans="1:10" ht="51" outlineLevel="1">
      <c r="A878" s="457" t="s">
        <v>1574</v>
      </c>
      <c r="B878" s="458" t="s">
        <v>1575</v>
      </c>
      <c r="C878" s="459"/>
      <c r="D878" s="458"/>
      <c r="E878" s="460">
        <v>477709.48541000002</v>
      </c>
      <c r="F878" s="460">
        <v>477709.48541000002</v>
      </c>
      <c r="G878" s="460">
        <v>5354.7303199999997</v>
      </c>
      <c r="H878" s="460">
        <v>5354.7303199999997</v>
      </c>
      <c r="I878" s="461">
        <v>1.1200000000000001</v>
      </c>
      <c r="J878" s="461"/>
    </row>
    <row r="879" spans="1:10" ht="25.5" outlineLevel="2">
      <c r="A879" s="462" t="s">
        <v>1576</v>
      </c>
      <c r="B879" s="463" t="s">
        <v>1577</v>
      </c>
      <c r="C879" s="464"/>
      <c r="D879" s="463"/>
      <c r="E879" s="465">
        <v>132904.76908999999</v>
      </c>
      <c r="F879" s="465">
        <v>132904.76908999999</v>
      </c>
      <c r="G879" s="465">
        <v>635.25924999999995</v>
      </c>
      <c r="H879" s="465">
        <v>635.25924999999995</v>
      </c>
      <c r="I879" s="466">
        <v>0.48</v>
      </c>
      <c r="J879" s="466"/>
    </row>
    <row r="880" spans="1:10" ht="38.25" outlineLevel="3">
      <c r="A880" s="467" t="s">
        <v>997</v>
      </c>
      <c r="B880" s="468" t="s">
        <v>1578</v>
      </c>
      <c r="C880" s="469"/>
      <c r="D880" s="468"/>
      <c r="E880" s="470">
        <v>132904.76908999999</v>
      </c>
      <c r="F880" s="470">
        <v>132904.76908999999</v>
      </c>
      <c r="G880" s="470">
        <v>635.25924999999995</v>
      </c>
      <c r="H880" s="470">
        <v>635.25924999999995</v>
      </c>
      <c r="I880" s="471">
        <v>0.48</v>
      </c>
      <c r="J880" s="471"/>
    </row>
    <row r="881" spans="1:10" ht="38.25" outlineLevel="4">
      <c r="A881" s="472" t="s">
        <v>997</v>
      </c>
      <c r="B881" s="473" t="s">
        <v>1578</v>
      </c>
      <c r="C881" s="474" t="s">
        <v>818</v>
      </c>
      <c r="D881" s="473" t="s">
        <v>819</v>
      </c>
      <c r="E881" s="475">
        <v>132904.76908999999</v>
      </c>
      <c r="F881" s="475">
        <v>132904.76908999999</v>
      </c>
      <c r="G881" s="475">
        <v>635.25924999999995</v>
      </c>
      <c r="H881" s="475">
        <v>635.25924999999995</v>
      </c>
      <c r="I881" s="471">
        <v>0.48</v>
      </c>
      <c r="J881" s="471"/>
    </row>
    <row r="882" spans="1:10" ht="63.75" outlineLevel="2">
      <c r="A882" s="462" t="s">
        <v>1579</v>
      </c>
      <c r="B882" s="463" t="s">
        <v>1580</v>
      </c>
      <c r="C882" s="464"/>
      <c r="D882" s="463"/>
      <c r="E882" s="465">
        <v>344804.71632000001</v>
      </c>
      <c r="F882" s="465">
        <v>344804.71632000001</v>
      </c>
      <c r="G882" s="465">
        <v>4719.4710699999996</v>
      </c>
      <c r="H882" s="465">
        <v>4719.4710699999996</v>
      </c>
      <c r="I882" s="466">
        <v>1.37</v>
      </c>
      <c r="J882" s="466"/>
    </row>
    <row r="883" spans="1:10" ht="51" outlineLevel="3">
      <c r="A883" s="467" t="s">
        <v>1581</v>
      </c>
      <c r="B883" s="468" t="s">
        <v>1582</v>
      </c>
      <c r="C883" s="469"/>
      <c r="D883" s="468"/>
      <c r="E883" s="470">
        <v>344804.71632000001</v>
      </c>
      <c r="F883" s="470">
        <v>344804.71632000001</v>
      </c>
      <c r="G883" s="470">
        <v>4719.4710699999996</v>
      </c>
      <c r="H883" s="470">
        <v>4719.4710699999996</v>
      </c>
      <c r="I883" s="471">
        <v>1.37</v>
      </c>
      <c r="J883" s="471"/>
    </row>
    <row r="884" spans="1:10" ht="51" outlineLevel="4">
      <c r="A884" s="472" t="s">
        <v>1581</v>
      </c>
      <c r="B884" s="473" t="s">
        <v>1582</v>
      </c>
      <c r="C884" s="474" t="s">
        <v>1517</v>
      </c>
      <c r="D884" s="473" t="s">
        <v>1518</v>
      </c>
      <c r="E884" s="475">
        <v>54391.15451</v>
      </c>
      <c r="F884" s="475">
        <v>54391.15451</v>
      </c>
      <c r="G884" s="475">
        <v>4571.3265700000002</v>
      </c>
      <c r="H884" s="475">
        <v>4571.3265700000002</v>
      </c>
      <c r="I884" s="471">
        <v>8.4</v>
      </c>
      <c r="J884" s="471"/>
    </row>
    <row r="885" spans="1:10" ht="51" outlineLevel="4">
      <c r="A885" s="472" t="s">
        <v>1581</v>
      </c>
      <c r="B885" s="473" t="s">
        <v>1582</v>
      </c>
      <c r="C885" s="474" t="s">
        <v>1583</v>
      </c>
      <c r="D885" s="473" t="s">
        <v>1584</v>
      </c>
      <c r="E885" s="475">
        <v>290413.56180999998</v>
      </c>
      <c r="F885" s="475">
        <v>290413.56180999998</v>
      </c>
      <c r="G885" s="475">
        <v>148.14449999999999</v>
      </c>
      <c r="H885" s="475">
        <v>148.14449999999999</v>
      </c>
      <c r="I885" s="471">
        <v>0.05</v>
      </c>
      <c r="J885" s="471"/>
    </row>
    <row r="886" spans="1:10" ht="114.75" outlineLevel="1">
      <c r="A886" s="457" t="s">
        <v>1585</v>
      </c>
      <c r="B886" s="458" t="s">
        <v>1586</v>
      </c>
      <c r="C886" s="459"/>
      <c r="D886" s="458"/>
      <c r="E886" s="460">
        <v>243962.68345000001</v>
      </c>
      <c r="F886" s="460">
        <v>243962.68345000001</v>
      </c>
      <c r="G886" s="460">
        <v>111789.9374</v>
      </c>
      <c r="H886" s="460">
        <v>87329.07935</v>
      </c>
      <c r="I886" s="461">
        <v>35.799999999999997</v>
      </c>
      <c r="J886" s="461"/>
    </row>
    <row r="887" spans="1:10" ht="63.75" outlineLevel="2">
      <c r="A887" s="462" t="s">
        <v>1587</v>
      </c>
      <c r="B887" s="463" t="s">
        <v>1588</v>
      </c>
      <c r="C887" s="464"/>
      <c r="D887" s="463"/>
      <c r="E887" s="465">
        <v>164681.99713</v>
      </c>
      <c r="F887" s="465">
        <v>164681.99713</v>
      </c>
      <c r="G887" s="465">
        <v>78744.595279999994</v>
      </c>
      <c r="H887" s="465">
        <v>55841.946279999996</v>
      </c>
      <c r="I887" s="466">
        <v>33.909999999999997</v>
      </c>
      <c r="J887" s="466"/>
    </row>
    <row r="888" spans="1:10" ht="25.5" outlineLevel="3">
      <c r="A888" s="467" t="s">
        <v>888</v>
      </c>
      <c r="B888" s="468" t="s">
        <v>1589</v>
      </c>
      <c r="C888" s="469"/>
      <c r="D888" s="468"/>
      <c r="E888" s="470">
        <v>89664.168420000002</v>
      </c>
      <c r="F888" s="470">
        <v>89664.168420000002</v>
      </c>
      <c r="G888" s="470">
        <v>50150</v>
      </c>
      <c r="H888" s="470">
        <v>31039.93288</v>
      </c>
      <c r="I888" s="471">
        <v>34.619999999999997</v>
      </c>
      <c r="J888" s="471"/>
    </row>
    <row r="889" spans="1:10" ht="25.5" outlineLevel="4">
      <c r="A889" s="472" t="s">
        <v>888</v>
      </c>
      <c r="B889" s="473" t="s">
        <v>1589</v>
      </c>
      <c r="C889" s="474" t="s">
        <v>1517</v>
      </c>
      <c r="D889" s="473" t="s">
        <v>1518</v>
      </c>
      <c r="E889" s="475">
        <v>33073.878210000003</v>
      </c>
      <c r="F889" s="475">
        <v>33073.878210000003</v>
      </c>
      <c r="G889" s="475">
        <v>14500</v>
      </c>
      <c r="H889" s="475">
        <v>5709.3405599999996</v>
      </c>
      <c r="I889" s="471">
        <v>17.260000000000002</v>
      </c>
      <c r="J889" s="471"/>
    </row>
    <row r="890" spans="1:10" ht="25.5" outlineLevel="4">
      <c r="A890" s="472" t="s">
        <v>888</v>
      </c>
      <c r="B890" s="473" t="s">
        <v>1589</v>
      </c>
      <c r="C890" s="474" t="s">
        <v>818</v>
      </c>
      <c r="D890" s="473" t="s">
        <v>819</v>
      </c>
      <c r="E890" s="475">
        <v>56590.290209999999</v>
      </c>
      <c r="F890" s="475">
        <v>56590.290209999999</v>
      </c>
      <c r="G890" s="475">
        <v>35650</v>
      </c>
      <c r="H890" s="475">
        <v>25330.59232</v>
      </c>
      <c r="I890" s="471">
        <v>44.76</v>
      </c>
      <c r="J890" s="471"/>
    </row>
    <row r="891" spans="1:10" ht="38.25" outlineLevel="3">
      <c r="A891" s="467" t="s">
        <v>869</v>
      </c>
      <c r="B891" s="468" t="s">
        <v>1590</v>
      </c>
      <c r="C891" s="469"/>
      <c r="D891" s="468"/>
      <c r="E891" s="470">
        <v>4205.6925000000001</v>
      </c>
      <c r="F891" s="470">
        <v>4205.6925000000001</v>
      </c>
      <c r="G891" s="470">
        <v>2267.3803899999998</v>
      </c>
      <c r="H891" s="470">
        <v>2192.1563099999998</v>
      </c>
      <c r="I891" s="471">
        <v>52.12</v>
      </c>
      <c r="J891" s="471"/>
    </row>
    <row r="892" spans="1:10" ht="38.25" outlineLevel="4">
      <c r="A892" s="472" t="s">
        <v>869</v>
      </c>
      <c r="B892" s="473" t="s">
        <v>1590</v>
      </c>
      <c r="C892" s="474" t="s">
        <v>1517</v>
      </c>
      <c r="D892" s="473" t="s">
        <v>1518</v>
      </c>
      <c r="E892" s="475">
        <v>1704.7</v>
      </c>
      <c r="F892" s="475">
        <v>1704.7</v>
      </c>
      <c r="G892" s="475">
        <v>964.57273999999995</v>
      </c>
      <c r="H892" s="475">
        <v>932.05265999999995</v>
      </c>
      <c r="I892" s="471">
        <v>54.68</v>
      </c>
      <c r="J892" s="471"/>
    </row>
    <row r="893" spans="1:10" ht="38.25" outlineLevel="4">
      <c r="A893" s="472" t="s">
        <v>869</v>
      </c>
      <c r="B893" s="473" t="s">
        <v>1590</v>
      </c>
      <c r="C893" s="474" t="s">
        <v>818</v>
      </c>
      <c r="D893" s="473" t="s">
        <v>819</v>
      </c>
      <c r="E893" s="475">
        <v>2500.9924999999998</v>
      </c>
      <c r="F893" s="475">
        <v>2500.9924999999998</v>
      </c>
      <c r="G893" s="475">
        <v>1302.80765</v>
      </c>
      <c r="H893" s="475">
        <v>1260.10365</v>
      </c>
      <c r="I893" s="471">
        <v>50.38</v>
      </c>
      <c r="J893" s="471"/>
    </row>
    <row r="894" spans="1:10" ht="76.5" outlineLevel="3">
      <c r="A894" s="467" t="s">
        <v>717</v>
      </c>
      <c r="B894" s="468" t="s">
        <v>1591</v>
      </c>
      <c r="C894" s="469"/>
      <c r="D894" s="468"/>
      <c r="E894" s="470">
        <v>68807.136209999997</v>
      </c>
      <c r="F894" s="470">
        <v>68807.136209999997</v>
      </c>
      <c r="G894" s="470">
        <v>25892.800889999999</v>
      </c>
      <c r="H894" s="470">
        <v>22358.269830000001</v>
      </c>
      <c r="I894" s="471">
        <v>32.49</v>
      </c>
      <c r="J894" s="471"/>
    </row>
    <row r="895" spans="1:10" ht="76.5" outlineLevel="4">
      <c r="A895" s="472" t="s">
        <v>717</v>
      </c>
      <c r="B895" s="473" t="s">
        <v>1591</v>
      </c>
      <c r="C895" s="474" t="s">
        <v>818</v>
      </c>
      <c r="D895" s="473" t="s">
        <v>819</v>
      </c>
      <c r="E895" s="475">
        <v>68807.136209999997</v>
      </c>
      <c r="F895" s="475">
        <v>68807.136209999997</v>
      </c>
      <c r="G895" s="475">
        <v>25892.800889999999</v>
      </c>
      <c r="H895" s="475">
        <v>22358.269830000001</v>
      </c>
      <c r="I895" s="471">
        <v>32.49</v>
      </c>
      <c r="J895" s="471"/>
    </row>
    <row r="896" spans="1:10" ht="63.75" outlineLevel="3">
      <c r="A896" s="467" t="s">
        <v>62</v>
      </c>
      <c r="B896" s="468" t="s">
        <v>1592</v>
      </c>
      <c r="C896" s="469"/>
      <c r="D896" s="468"/>
      <c r="E896" s="470">
        <v>1870</v>
      </c>
      <c r="F896" s="470">
        <v>1870</v>
      </c>
      <c r="G896" s="470">
        <v>366.57400000000001</v>
      </c>
      <c r="H896" s="470">
        <v>192.74726000000001</v>
      </c>
      <c r="I896" s="471">
        <v>10.31</v>
      </c>
      <c r="J896" s="471"/>
    </row>
    <row r="897" spans="1:10" ht="63.75" outlineLevel="4">
      <c r="A897" s="472" t="s">
        <v>62</v>
      </c>
      <c r="B897" s="473" t="s">
        <v>1592</v>
      </c>
      <c r="C897" s="474" t="s">
        <v>1517</v>
      </c>
      <c r="D897" s="473" t="s">
        <v>1518</v>
      </c>
      <c r="E897" s="475">
        <v>500</v>
      </c>
      <c r="F897" s="475">
        <v>500</v>
      </c>
      <c r="G897" s="475">
        <v>0</v>
      </c>
      <c r="H897" s="475">
        <v>0</v>
      </c>
      <c r="I897" s="471">
        <v>0</v>
      </c>
      <c r="J897" s="471"/>
    </row>
    <row r="898" spans="1:10" ht="63.75" outlineLevel="4">
      <c r="A898" s="472" t="s">
        <v>62</v>
      </c>
      <c r="B898" s="473" t="s">
        <v>1592</v>
      </c>
      <c r="C898" s="474" t="s">
        <v>818</v>
      </c>
      <c r="D898" s="473" t="s">
        <v>819</v>
      </c>
      <c r="E898" s="475">
        <v>1370</v>
      </c>
      <c r="F898" s="475">
        <v>1370</v>
      </c>
      <c r="G898" s="475">
        <v>366.57400000000001</v>
      </c>
      <c r="H898" s="475">
        <v>192.74726000000001</v>
      </c>
      <c r="I898" s="471">
        <v>14.07</v>
      </c>
      <c r="J898" s="471"/>
    </row>
    <row r="899" spans="1:10" ht="76.5" outlineLevel="3">
      <c r="A899" s="467" t="s">
        <v>1042</v>
      </c>
      <c r="B899" s="468" t="s">
        <v>1593</v>
      </c>
      <c r="C899" s="469"/>
      <c r="D899" s="468"/>
      <c r="E899" s="470">
        <v>135</v>
      </c>
      <c r="F899" s="470">
        <v>135</v>
      </c>
      <c r="G899" s="470">
        <v>67.84</v>
      </c>
      <c r="H899" s="470">
        <v>58.84</v>
      </c>
      <c r="I899" s="471">
        <v>43.59</v>
      </c>
      <c r="J899" s="471"/>
    </row>
    <row r="900" spans="1:10" ht="76.5" outlineLevel="4">
      <c r="A900" s="472" t="s">
        <v>1042</v>
      </c>
      <c r="B900" s="473" t="s">
        <v>1593</v>
      </c>
      <c r="C900" s="474" t="s">
        <v>818</v>
      </c>
      <c r="D900" s="473" t="s">
        <v>819</v>
      </c>
      <c r="E900" s="475">
        <v>135</v>
      </c>
      <c r="F900" s="475">
        <v>135</v>
      </c>
      <c r="G900" s="475">
        <v>67.84</v>
      </c>
      <c r="H900" s="475">
        <v>58.84</v>
      </c>
      <c r="I900" s="471">
        <v>43.59</v>
      </c>
      <c r="J900" s="471"/>
    </row>
    <row r="901" spans="1:10" ht="102" outlineLevel="2">
      <c r="A901" s="462" t="s">
        <v>1594</v>
      </c>
      <c r="B901" s="463" t="s">
        <v>1595</v>
      </c>
      <c r="C901" s="464"/>
      <c r="D901" s="463"/>
      <c r="E901" s="465">
        <v>79280.686319999993</v>
      </c>
      <c r="F901" s="465">
        <v>79280.686319999993</v>
      </c>
      <c r="G901" s="465">
        <v>33045.342120000001</v>
      </c>
      <c r="H901" s="465">
        <v>31487.13307</v>
      </c>
      <c r="I901" s="466">
        <v>39.72</v>
      </c>
      <c r="J901" s="466"/>
    </row>
    <row r="902" spans="1:10" ht="25.5" outlineLevel="3">
      <c r="A902" s="467" t="s">
        <v>888</v>
      </c>
      <c r="B902" s="468" t="s">
        <v>1596</v>
      </c>
      <c r="C902" s="469"/>
      <c r="D902" s="468"/>
      <c r="E902" s="470">
        <v>55115.498319999999</v>
      </c>
      <c r="F902" s="470">
        <v>55115.498319999999</v>
      </c>
      <c r="G902" s="470">
        <v>22150</v>
      </c>
      <c r="H902" s="470">
        <v>21806.890299999999</v>
      </c>
      <c r="I902" s="471">
        <v>39.57</v>
      </c>
      <c r="J902" s="471"/>
    </row>
    <row r="903" spans="1:10" ht="38.25" outlineLevel="4">
      <c r="A903" s="472" t="s">
        <v>888</v>
      </c>
      <c r="B903" s="473" t="s">
        <v>1596</v>
      </c>
      <c r="C903" s="474" t="s">
        <v>1597</v>
      </c>
      <c r="D903" s="473" t="s">
        <v>1598</v>
      </c>
      <c r="E903" s="475">
        <v>55115.498319999999</v>
      </c>
      <c r="F903" s="475">
        <v>55115.498319999999</v>
      </c>
      <c r="G903" s="475">
        <v>22150</v>
      </c>
      <c r="H903" s="475">
        <v>21806.890299999999</v>
      </c>
      <c r="I903" s="471">
        <v>39.57</v>
      </c>
      <c r="J903" s="471"/>
    </row>
    <row r="904" spans="1:10" ht="38.25" outlineLevel="3">
      <c r="A904" s="467" t="s">
        <v>869</v>
      </c>
      <c r="B904" s="468" t="s">
        <v>1599</v>
      </c>
      <c r="C904" s="469"/>
      <c r="D904" s="468"/>
      <c r="E904" s="470">
        <v>1258.4793999999999</v>
      </c>
      <c r="F904" s="470">
        <v>1258.4793999999999</v>
      </c>
      <c r="G904" s="470">
        <v>317.00389999999999</v>
      </c>
      <c r="H904" s="470">
        <v>295.28136999999998</v>
      </c>
      <c r="I904" s="471">
        <v>23.46</v>
      </c>
      <c r="J904" s="471"/>
    </row>
    <row r="905" spans="1:10" ht="38.25" outlineLevel="4">
      <c r="A905" s="472" t="s">
        <v>869</v>
      </c>
      <c r="B905" s="473" t="s">
        <v>1599</v>
      </c>
      <c r="C905" s="474" t="s">
        <v>1597</v>
      </c>
      <c r="D905" s="473" t="s">
        <v>1598</v>
      </c>
      <c r="E905" s="475">
        <v>1258.4793999999999</v>
      </c>
      <c r="F905" s="475">
        <v>1258.4793999999999</v>
      </c>
      <c r="G905" s="475">
        <v>317.00389999999999</v>
      </c>
      <c r="H905" s="475">
        <v>295.28136999999998</v>
      </c>
      <c r="I905" s="471">
        <v>23.46</v>
      </c>
      <c r="J905" s="471"/>
    </row>
    <row r="906" spans="1:10" ht="76.5" outlineLevel="3">
      <c r="A906" s="467" t="s">
        <v>717</v>
      </c>
      <c r="B906" s="468" t="s">
        <v>1600</v>
      </c>
      <c r="C906" s="469"/>
      <c r="D906" s="468"/>
      <c r="E906" s="470">
        <v>21710.908599999999</v>
      </c>
      <c r="F906" s="470">
        <v>21710.908599999999</v>
      </c>
      <c r="G906" s="470">
        <v>10485.037270000001</v>
      </c>
      <c r="H906" s="470">
        <v>9298.4441800000004</v>
      </c>
      <c r="I906" s="471">
        <v>42.83</v>
      </c>
      <c r="J906" s="471"/>
    </row>
    <row r="907" spans="1:10" ht="76.5" outlineLevel="4">
      <c r="A907" s="472" t="s">
        <v>717</v>
      </c>
      <c r="B907" s="473" t="s">
        <v>1600</v>
      </c>
      <c r="C907" s="474" t="s">
        <v>1597</v>
      </c>
      <c r="D907" s="473" t="s">
        <v>1598</v>
      </c>
      <c r="E907" s="475">
        <v>21710.908599999999</v>
      </c>
      <c r="F907" s="475">
        <v>21710.908599999999</v>
      </c>
      <c r="G907" s="475">
        <v>10485.037270000001</v>
      </c>
      <c r="H907" s="475">
        <v>9298.4441800000004</v>
      </c>
      <c r="I907" s="471">
        <v>42.83</v>
      </c>
      <c r="J907" s="471"/>
    </row>
    <row r="908" spans="1:10" ht="63.75" outlineLevel="3">
      <c r="A908" s="467" t="s">
        <v>62</v>
      </c>
      <c r="B908" s="468" t="s">
        <v>1601</v>
      </c>
      <c r="C908" s="469"/>
      <c r="D908" s="468"/>
      <c r="E908" s="470">
        <v>1195.8</v>
      </c>
      <c r="F908" s="470">
        <v>1195.8</v>
      </c>
      <c r="G908" s="470">
        <v>93.30095</v>
      </c>
      <c r="H908" s="470">
        <v>86.517219999999995</v>
      </c>
      <c r="I908" s="471">
        <v>7.24</v>
      </c>
      <c r="J908" s="471"/>
    </row>
    <row r="909" spans="1:10" ht="63.75" outlineLevel="4">
      <c r="A909" s="472" t="s">
        <v>62</v>
      </c>
      <c r="B909" s="473" t="s">
        <v>1601</v>
      </c>
      <c r="C909" s="474" t="s">
        <v>1597</v>
      </c>
      <c r="D909" s="473" t="s">
        <v>1598</v>
      </c>
      <c r="E909" s="475">
        <v>1195.8</v>
      </c>
      <c r="F909" s="475">
        <v>1195.8</v>
      </c>
      <c r="G909" s="475">
        <v>93.30095</v>
      </c>
      <c r="H909" s="475">
        <v>86.517219999999995</v>
      </c>
      <c r="I909" s="471">
        <v>7.24</v>
      </c>
      <c r="J909" s="471"/>
    </row>
    <row r="910" spans="1:10" ht="51" outlineLevel="1">
      <c r="A910" s="457" t="s">
        <v>1602</v>
      </c>
      <c r="B910" s="458" t="s">
        <v>1603</v>
      </c>
      <c r="C910" s="459"/>
      <c r="D910" s="458"/>
      <c r="E910" s="460">
        <v>78733.511199999994</v>
      </c>
      <c r="F910" s="460">
        <v>73733.511199999994</v>
      </c>
      <c r="G910" s="460">
        <v>34516.515630000002</v>
      </c>
      <c r="H910" s="460">
        <v>33069.528160000002</v>
      </c>
      <c r="I910" s="461">
        <v>42</v>
      </c>
      <c r="J910" s="461"/>
    </row>
    <row r="911" spans="1:10" ht="140.25" outlineLevel="2">
      <c r="A911" s="462" t="s">
        <v>1604</v>
      </c>
      <c r="B911" s="463" t="s">
        <v>1605</v>
      </c>
      <c r="C911" s="464"/>
      <c r="D911" s="463"/>
      <c r="E911" s="465">
        <v>78733.511199999994</v>
      </c>
      <c r="F911" s="465">
        <v>73733.511199999994</v>
      </c>
      <c r="G911" s="465">
        <v>34516.515630000002</v>
      </c>
      <c r="H911" s="465">
        <v>33069.528160000002</v>
      </c>
      <c r="I911" s="466">
        <v>42</v>
      </c>
      <c r="J911" s="466"/>
    </row>
    <row r="912" spans="1:10" ht="25.5" outlineLevel="3">
      <c r="A912" s="467" t="s">
        <v>888</v>
      </c>
      <c r="B912" s="468" t="s">
        <v>1606</v>
      </c>
      <c r="C912" s="469"/>
      <c r="D912" s="468"/>
      <c r="E912" s="470">
        <v>68142.661189999999</v>
      </c>
      <c r="F912" s="470">
        <v>68142.661189999999</v>
      </c>
      <c r="G912" s="470">
        <v>33207.5</v>
      </c>
      <c r="H912" s="470">
        <v>31842.113549999998</v>
      </c>
      <c r="I912" s="471">
        <v>46.73</v>
      </c>
      <c r="J912" s="471"/>
    </row>
    <row r="913" spans="1:10" ht="25.5" outlineLevel="4">
      <c r="A913" s="472" t="s">
        <v>888</v>
      </c>
      <c r="B913" s="473" t="s">
        <v>1606</v>
      </c>
      <c r="C913" s="474" t="s">
        <v>1607</v>
      </c>
      <c r="D913" s="473" t="s">
        <v>1608</v>
      </c>
      <c r="E913" s="475">
        <v>68142.661189999999</v>
      </c>
      <c r="F913" s="475">
        <v>68142.661189999999</v>
      </c>
      <c r="G913" s="475">
        <v>33207.5</v>
      </c>
      <c r="H913" s="475">
        <v>31842.113549999998</v>
      </c>
      <c r="I913" s="471">
        <v>46.73</v>
      </c>
      <c r="J913" s="471"/>
    </row>
    <row r="914" spans="1:10" ht="38.25" outlineLevel="3">
      <c r="A914" s="467" t="s">
        <v>869</v>
      </c>
      <c r="B914" s="468" t="s">
        <v>1609</v>
      </c>
      <c r="C914" s="469"/>
      <c r="D914" s="468"/>
      <c r="E914" s="470">
        <v>9727.8507900000004</v>
      </c>
      <c r="F914" s="470">
        <v>4727.8507900000004</v>
      </c>
      <c r="G914" s="470">
        <v>1193.40128</v>
      </c>
      <c r="H914" s="470">
        <v>1165.1432</v>
      </c>
      <c r="I914" s="471">
        <v>11.98</v>
      </c>
      <c r="J914" s="471"/>
    </row>
    <row r="915" spans="1:10" ht="38.25" outlineLevel="4">
      <c r="A915" s="472" t="s">
        <v>869</v>
      </c>
      <c r="B915" s="473" t="s">
        <v>1609</v>
      </c>
      <c r="C915" s="474" t="s">
        <v>1607</v>
      </c>
      <c r="D915" s="473" t="s">
        <v>1608</v>
      </c>
      <c r="E915" s="475">
        <v>9727.8507900000004</v>
      </c>
      <c r="F915" s="475">
        <v>4727.8507900000004</v>
      </c>
      <c r="G915" s="475">
        <v>1193.40128</v>
      </c>
      <c r="H915" s="475">
        <v>1165.1432</v>
      </c>
      <c r="I915" s="471">
        <v>11.98</v>
      </c>
      <c r="J915" s="471"/>
    </row>
    <row r="916" spans="1:10" ht="63.75" outlineLevel="3">
      <c r="A916" s="467" t="s">
        <v>62</v>
      </c>
      <c r="B916" s="468" t="s">
        <v>1610</v>
      </c>
      <c r="C916" s="469"/>
      <c r="D916" s="468"/>
      <c r="E916" s="470">
        <v>862.99922000000004</v>
      </c>
      <c r="F916" s="470">
        <v>862.99922000000004</v>
      </c>
      <c r="G916" s="470">
        <v>115.61435</v>
      </c>
      <c r="H916" s="470">
        <v>62.271410000000003</v>
      </c>
      <c r="I916" s="471">
        <v>7.22</v>
      </c>
      <c r="J916" s="471"/>
    </row>
    <row r="917" spans="1:10" ht="63.75" outlineLevel="4">
      <c r="A917" s="472" t="s">
        <v>62</v>
      </c>
      <c r="B917" s="473" t="s">
        <v>1610</v>
      </c>
      <c r="C917" s="474" t="s">
        <v>1607</v>
      </c>
      <c r="D917" s="473" t="s">
        <v>1608</v>
      </c>
      <c r="E917" s="475">
        <v>862.99922000000004</v>
      </c>
      <c r="F917" s="475">
        <v>862.99922000000004</v>
      </c>
      <c r="G917" s="475">
        <v>115.61435</v>
      </c>
      <c r="H917" s="475">
        <v>62.271410000000003</v>
      </c>
      <c r="I917" s="471">
        <v>7.22</v>
      </c>
      <c r="J917" s="471"/>
    </row>
    <row r="918" spans="1:10" ht="63.75" outlineLevel="1">
      <c r="A918" s="457" t="s">
        <v>1611</v>
      </c>
      <c r="B918" s="458" t="s">
        <v>1612</v>
      </c>
      <c r="C918" s="459"/>
      <c r="D918" s="458"/>
      <c r="E918" s="460">
        <v>3114959.42178</v>
      </c>
      <c r="F918" s="460">
        <v>2146274.45603</v>
      </c>
      <c r="G918" s="460">
        <v>1956042.5561800001</v>
      </c>
      <c r="H918" s="460">
        <v>1953395.38353</v>
      </c>
      <c r="I918" s="461">
        <v>62.71</v>
      </c>
      <c r="J918" s="461"/>
    </row>
    <row r="919" spans="1:10" ht="102" outlineLevel="2">
      <c r="A919" s="462" t="s">
        <v>1613</v>
      </c>
      <c r="B919" s="463" t="s">
        <v>1614</v>
      </c>
      <c r="C919" s="464"/>
      <c r="D919" s="463"/>
      <c r="E919" s="465">
        <v>2250</v>
      </c>
      <c r="F919" s="465">
        <v>2250</v>
      </c>
      <c r="G919" s="465">
        <v>0</v>
      </c>
      <c r="H919" s="465">
        <v>0</v>
      </c>
      <c r="I919" s="466">
        <v>0</v>
      </c>
      <c r="J919" s="466"/>
    </row>
    <row r="920" spans="1:10" ht="25.5" outlineLevel="3">
      <c r="A920" s="467" t="s">
        <v>728</v>
      </c>
      <c r="B920" s="468" t="s">
        <v>1615</v>
      </c>
      <c r="C920" s="469"/>
      <c r="D920" s="468"/>
      <c r="E920" s="470">
        <v>2250</v>
      </c>
      <c r="F920" s="470">
        <v>2250</v>
      </c>
      <c r="G920" s="470">
        <v>0</v>
      </c>
      <c r="H920" s="470">
        <v>0</v>
      </c>
      <c r="I920" s="471">
        <v>0</v>
      </c>
      <c r="J920" s="471"/>
    </row>
    <row r="921" spans="1:10" ht="38.25" outlineLevel="4">
      <c r="A921" s="472" t="s">
        <v>728</v>
      </c>
      <c r="B921" s="473" t="s">
        <v>1615</v>
      </c>
      <c r="C921" s="474" t="s">
        <v>1597</v>
      </c>
      <c r="D921" s="473" t="s">
        <v>1598</v>
      </c>
      <c r="E921" s="475">
        <v>2250</v>
      </c>
      <c r="F921" s="475">
        <v>2250</v>
      </c>
      <c r="G921" s="475">
        <v>0</v>
      </c>
      <c r="H921" s="475">
        <v>0</v>
      </c>
      <c r="I921" s="471">
        <v>0</v>
      </c>
      <c r="J921" s="471"/>
    </row>
    <row r="922" spans="1:10" ht="38.25" outlineLevel="2">
      <c r="A922" s="462" t="s">
        <v>1616</v>
      </c>
      <c r="B922" s="463" t="s">
        <v>1617</v>
      </c>
      <c r="C922" s="464"/>
      <c r="D922" s="463"/>
      <c r="E922" s="465">
        <v>3690.5219999999999</v>
      </c>
      <c r="F922" s="465">
        <v>3690.5219999999999</v>
      </c>
      <c r="G922" s="465">
        <v>0</v>
      </c>
      <c r="H922" s="465">
        <v>0</v>
      </c>
      <c r="I922" s="466">
        <v>0</v>
      </c>
      <c r="J922" s="466"/>
    </row>
    <row r="923" spans="1:10" ht="38.25" outlineLevel="3">
      <c r="A923" s="467" t="s">
        <v>997</v>
      </c>
      <c r="B923" s="468" t="s">
        <v>1618</v>
      </c>
      <c r="C923" s="469"/>
      <c r="D923" s="468"/>
      <c r="E923" s="470">
        <v>3690.5219999999999</v>
      </c>
      <c r="F923" s="470">
        <v>3690.5219999999999</v>
      </c>
      <c r="G923" s="470">
        <v>0</v>
      </c>
      <c r="H923" s="470">
        <v>0</v>
      </c>
      <c r="I923" s="471">
        <v>0</v>
      </c>
      <c r="J923" s="471"/>
    </row>
    <row r="924" spans="1:10" ht="38.25" outlineLevel="4">
      <c r="A924" s="472" t="s">
        <v>997</v>
      </c>
      <c r="B924" s="473" t="s">
        <v>1618</v>
      </c>
      <c r="C924" s="474" t="s">
        <v>818</v>
      </c>
      <c r="D924" s="473" t="s">
        <v>819</v>
      </c>
      <c r="E924" s="475">
        <v>3690.5219999999999</v>
      </c>
      <c r="F924" s="475">
        <v>3690.5219999999999</v>
      </c>
      <c r="G924" s="475">
        <v>0</v>
      </c>
      <c r="H924" s="475">
        <v>0</v>
      </c>
      <c r="I924" s="471">
        <v>0</v>
      </c>
      <c r="J924" s="471"/>
    </row>
    <row r="925" spans="1:10" ht="38.25" outlineLevel="2">
      <c r="A925" s="462" t="s">
        <v>1619</v>
      </c>
      <c r="B925" s="463" t="s">
        <v>1620</v>
      </c>
      <c r="C925" s="464"/>
      <c r="D925" s="463"/>
      <c r="E925" s="465">
        <v>2900574.6201399998</v>
      </c>
      <c r="F925" s="465">
        <v>1934473.32589</v>
      </c>
      <c r="G925" s="465">
        <v>1916029.21209</v>
      </c>
      <c r="H925" s="465">
        <v>1913382.03944</v>
      </c>
      <c r="I925" s="466">
        <v>65.97</v>
      </c>
      <c r="J925" s="466"/>
    </row>
    <row r="926" spans="1:10" ht="76.5" outlineLevel="3">
      <c r="A926" s="467" t="s">
        <v>1621</v>
      </c>
      <c r="B926" s="468" t="s">
        <v>1622</v>
      </c>
      <c r="C926" s="469"/>
      <c r="D926" s="468"/>
      <c r="E926" s="470">
        <v>11635</v>
      </c>
      <c r="F926" s="470">
        <v>11635</v>
      </c>
      <c r="G926" s="470">
        <v>11635</v>
      </c>
      <c r="H926" s="470">
        <v>11635</v>
      </c>
      <c r="I926" s="471">
        <v>100</v>
      </c>
      <c r="J926" s="471"/>
    </row>
    <row r="927" spans="1:10" ht="76.5" outlineLevel="4">
      <c r="A927" s="472" t="s">
        <v>1621</v>
      </c>
      <c r="B927" s="473" t="s">
        <v>1622</v>
      </c>
      <c r="C927" s="474" t="s">
        <v>1597</v>
      </c>
      <c r="D927" s="473" t="s">
        <v>1598</v>
      </c>
      <c r="E927" s="475">
        <v>11635</v>
      </c>
      <c r="F927" s="475">
        <v>11635</v>
      </c>
      <c r="G927" s="475">
        <v>11635</v>
      </c>
      <c r="H927" s="475">
        <v>11635</v>
      </c>
      <c r="I927" s="471">
        <v>100</v>
      </c>
      <c r="J927" s="471"/>
    </row>
    <row r="928" spans="1:10" ht="76.5" outlineLevel="3">
      <c r="A928" s="467" t="s">
        <v>1623</v>
      </c>
      <c r="B928" s="468" t="s">
        <v>1624</v>
      </c>
      <c r="C928" s="469"/>
      <c r="D928" s="468"/>
      <c r="E928" s="470">
        <v>116000.5</v>
      </c>
      <c r="F928" s="470">
        <v>107847.45892</v>
      </c>
      <c r="G928" s="470">
        <v>89403.345119999998</v>
      </c>
      <c r="H928" s="470">
        <v>89403.345119999998</v>
      </c>
      <c r="I928" s="471">
        <v>77.069999999999993</v>
      </c>
      <c r="J928" s="471"/>
    </row>
    <row r="929" spans="1:10" ht="76.5" outlineLevel="4">
      <c r="A929" s="472" t="s">
        <v>1623</v>
      </c>
      <c r="B929" s="473" t="s">
        <v>1624</v>
      </c>
      <c r="C929" s="474" t="s">
        <v>1597</v>
      </c>
      <c r="D929" s="473" t="s">
        <v>1598</v>
      </c>
      <c r="E929" s="475">
        <v>116000.5</v>
      </c>
      <c r="F929" s="475">
        <v>107847.45892</v>
      </c>
      <c r="G929" s="475">
        <v>89403.345119999998</v>
      </c>
      <c r="H929" s="475">
        <v>89403.345119999998</v>
      </c>
      <c r="I929" s="471">
        <v>77.069999999999993</v>
      </c>
      <c r="J929" s="471"/>
    </row>
    <row r="930" spans="1:10" ht="63.75" outlineLevel="3">
      <c r="A930" s="467" t="s">
        <v>1625</v>
      </c>
      <c r="B930" s="468" t="s">
        <v>1626</v>
      </c>
      <c r="C930" s="469"/>
      <c r="D930" s="468"/>
      <c r="E930" s="470">
        <v>2570758.1884499998</v>
      </c>
      <c r="F930" s="470">
        <v>1623965.0058800001</v>
      </c>
      <c r="G930" s="470">
        <v>1623965.0058800001</v>
      </c>
      <c r="H930" s="470">
        <v>1621317.83323</v>
      </c>
      <c r="I930" s="471">
        <v>63.07</v>
      </c>
      <c r="J930" s="471"/>
    </row>
    <row r="931" spans="1:10" ht="63.75" outlineLevel="4">
      <c r="A931" s="472" t="s">
        <v>1625</v>
      </c>
      <c r="B931" s="473" t="s">
        <v>1626</v>
      </c>
      <c r="C931" s="474" t="s">
        <v>1597</v>
      </c>
      <c r="D931" s="473" t="s">
        <v>1598</v>
      </c>
      <c r="E931" s="475">
        <v>2570758.1884499998</v>
      </c>
      <c r="F931" s="475">
        <v>1623965.0058800001</v>
      </c>
      <c r="G931" s="475">
        <v>1623965.0058800001</v>
      </c>
      <c r="H931" s="475">
        <v>1621317.83323</v>
      </c>
      <c r="I931" s="471">
        <v>63.07</v>
      </c>
      <c r="J931" s="471"/>
    </row>
    <row r="932" spans="1:10" ht="51" outlineLevel="3">
      <c r="A932" s="467" t="s">
        <v>1627</v>
      </c>
      <c r="B932" s="468" t="s">
        <v>1628</v>
      </c>
      <c r="C932" s="469"/>
      <c r="D932" s="468"/>
      <c r="E932" s="470">
        <v>202180.93169</v>
      </c>
      <c r="F932" s="470">
        <v>191025.86108999999</v>
      </c>
      <c r="G932" s="470">
        <v>191025.86108999999</v>
      </c>
      <c r="H932" s="470">
        <v>191025.86108999999</v>
      </c>
      <c r="I932" s="471">
        <v>94.48</v>
      </c>
      <c r="J932" s="471"/>
    </row>
    <row r="933" spans="1:10" ht="51" outlineLevel="4">
      <c r="A933" s="472" t="s">
        <v>1627</v>
      </c>
      <c r="B933" s="473" t="s">
        <v>1628</v>
      </c>
      <c r="C933" s="474" t="s">
        <v>1597</v>
      </c>
      <c r="D933" s="473" t="s">
        <v>1598</v>
      </c>
      <c r="E933" s="475">
        <v>202180.93169</v>
      </c>
      <c r="F933" s="475">
        <v>191025.86108999999</v>
      </c>
      <c r="G933" s="475">
        <v>191025.86108999999</v>
      </c>
      <c r="H933" s="475">
        <v>191025.86108999999</v>
      </c>
      <c r="I933" s="471">
        <v>94.48</v>
      </c>
      <c r="J933" s="471"/>
    </row>
    <row r="934" spans="1:10" ht="76.5" outlineLevel="2">
      <c r="A934" s="462" t="s">
        <v>1629</v>
      </c>
      <c r="B934" s="463" t="s">
        <v>1630</v>
      </c>
      <c r="C934" s="464"/>
      <c r="D934" s="463"/>
      <c r="E934" s="465">
        <v>208444.27963999999</v>
      </c>
      <c r="F934" s="465">
        <v>205860.60814</v>
      </c>
      <c r="G934" s="465">
        <v>40013.344089999999</v>
      </c>
      <c r="H934" s="465">
        <v>40013.344089999999</v>
      </c>
      <c r="I934" s="466">
        <v>19.2</v>
      </c>
      <c r="J934" s="466"/>
    </row>
    <row r="935" spans="1:10" ht="63.75" outlineLevel="3">
      <c r="A935" s="467" t="s">
        <v>1631</v>
      </c>
      <c r="B935" s="468" t="s">
        <v>1632</v>
      </c>
      <c r="C935" s="469"/>
      <c r="D935" s="468"/>
      <c r="E935" s="470">
        <v>48979.758900000001</v>
      </c>
      <c r="F935" s="470">
        <v>48979.758900000001</v>
      </c>
      <c r="G935" s="470">
        <v>40013.344089999999</v>
      </c>
      <c r="H935" s="470">
        <v>40013.344089999999</v>
      </c>
      <c r="I935" s="471">
        <v>81.69</v>
      </c>
      <c r="J935" s="471"/>
    </row>
    <row r="936" spans="1:10" ht="63.75" outlineLevel="4">
      <c r="A936" s="472" t="s">
        <v>1631</v>
      </c>
      <c r="B936" s="473" t="s">
        <v>1632</v>
      </c>
      <c r="C936" s="474" t="s">
        <v>1597</v>
      </c>
      <c r="D936" s="473" t="s">
        <v>1598</v>
      </c>
      <c r="E936" s="475">
        <v>48979.758900000001</v>
      </c>
      <c r="F936" s="475">
        <v>48979.758900000001</v>
      </c>
      <c r="G936" s="475">
        <v>40013.344089999999</v>
      </c>
      <c r="H936" s="475">
        <v>40013.344089999999</v>
      </c>
      <c r="I936" s="471">
        <v>81.69</v>
      </c>
      <c r="J936" s="471"/>
    </row>
    <row r="937" spans="1:10" ht="38.25" outlineLevel="3">
      <c r="A937" s="467" t="s">
        <v>1633</v>
      </c>
      <c r="B937" s="468" t="s">
        <v>1634</v>
      </c>
      <c r="C937" s="469"/>
      <c r="D937" s="468"/>
      <c r="E937" s="470">
        <v>91267.3</v>
      </c>
      <c r="F937" s="470">
        <v>88757.713109999997</v>
      </c>
      <c r="G937" s="470">
        <v>0</v>
      </c>
      <c r="H937" s="470">
        <v>0</v>
      </c>
      <c r="I937" s="471">
        <v>0</v>
      </c>
      <c r="J937" s="471"/>
    </row>
    <row r="938" spans="1:10" ht="38.25" outlineLevel="4">
      <c r="A938" s="472" t="s">
        <v>1633</v>
      </c>
      <c r="B938" s="473" t="s">
        <v>1634</v>
      </c>
      <c r="C938" s="474" t="s">
        <v>1597</v>
      </c>
      <c r="D938" s="473" t="s">
        <v>1598</v>
      </c>
      <c r="E938" s="475">
        <v>91267.3</v>
      </c>
      <c r="F938" s="475">
        <v>88757.713109999997</v>
      </c>
      <c r="G938" s="475">
        <v>0</v>
      </c>
      <c r="H938" s="475">
        <v>0</v>
      </c>
      <c r="I938" s="471">
        <v>0</v>
      </c>
      <c r="J938" s="471"/>
    </row>
    <row r="939" spans="1:10" ht="51" outlineLevel="3">
      <c r="A939" s="467" t="s">
        <v>1635</v>
      </c>
      <c r="B939" s="468" t="s">
        <v>1636</v>
      </c>
      <c r="C939" s="469"/>
      <c r="D939" s="468"/>
      <c r="E939" s="470">
        <v>68197.220740000004</v>
      </c>
      <c r="F939" s="470">
        <v>68123.136129999999</v>
      </c>
      <c r="G939" s="470">
        <v>0</v>
      </c>
      <c r="H939" s="470">
        <v>0</v>
      </c>
      <c r="I939" s="471">
        <v>0</v>
      </c>
      <c r="J939" s="471"/>
    </row>
    <row r="940" spans="1:10" ht="51" outlineLevel="4">
      <c r="A940" s="472" t="s">
        <v>1635</v>
      </c>
      <c r="B940" s="473" t="s">
        <v>1636</v>
      </c>
      <c r="C940" s="474" t="s">
        <v>1597</v>
      </c>
      <c r="D940" s="473" t="s">
        <v>1598</v>
      </c>
      <c r="E940" s="475">
        <v>68197.220740000004</v>
      </c>
      <c r="F940" s="475">
        <v>68123.136129999999</v>
      </c>
      <c r="G940" s="475">
        <v>0</v>
      </c>
      <c r="H940" s="475">
        <v>0</v>
      </c>
      <c r="I940" s="471">
        <v>0</v>
      </c>
      <c r="J940" s="471"/>
    </row>
    <row r="941" spans="1:10" ht="60.75" collapsed="1" thickBot="1">
      <c r="A941" s="452" t="s">
        <v>1637</v>
      </c>
      <c r="B941" s="453" t="s">
        <v>1638</v>
      </c>
      <c r="C941" s="454"/>
      <c r="D941" s="453"/>
      <c r="E941" s="455">
        <v>1852716.7507799999</v>
      </c>
      <c r="F941" s="455">
        <v>1837220.4507800001</v>
      </c>
      <c r="G941" s="455">
        <v>837245.35230000003</v>
      </c>
      <c r="H941" s="455">
        <v>749939.91046000004</v>
      </c>
      <c r="I941" s="456">
        <v>40.479999999999997</v>
      </c>
      <c r="J941" s="456"/>
    </row>
    <row r="942" spans="1:10" ht="25.5" outlineLevel="1">
      <c r="A942" s="457" t="s">
        <v>1639</v>
      </c>
      <c r="B942" s="458" t="s">
        <v>1640</v>
      </c>
      <c r="C942" s="459"/>
      <c r="D942" s="458"/>
      <c r="E942" s="460">
        <v>129039.20001</v>
      </c>
      <c r="F942" s="460">
        <v>128976.20001</v>
      </c>
      <c r="G942" s="460">
        <v>14348.96336</v>
      </c>
      <c r="H942" s="460">
        <v>12087.925859999999</v>
      </c>
      <c r="I942" s="461">
        <v>9.3699999999999992</v>
      </c>
      <c r="J942" s="461"/>
    </row>
    <row r="943" spans="1:10" ht="38.25" outlineLevel="2">
      <c r="A943" s="462" t="s">
        <v>1641</v>
      </c>
      <c r="B943" s="463" t="s">
        <v>1642</v>
      </c>
      <c r="C943" s="464"/>
      <c r="D943" s="463"/>
      <c r="E943" s="465">
        <v>103</v>
      </c>
      <c r="F943" s="465">
        <v>40</v>
      </c>
      <c r="G943" s="465">
        <v>21.3</v>
      </c>
      <c r="H943" s="465">
        <v>21.3</v>
      </c>
      <c r="I943" s="466">
        <v>20.68</v>
      </c>
      <c r="J943" s="466"/>
    </row>
    <row r="944" spans="1:10" ht="76.5" outlineLevel="3">
      <c r="A944" s="467" t="s">
        <v>717</v>
      </c>
      <c r="B944" s="468" t="s">
        <v>1643</v>
      </c>
      <c r="C944" s="469"/>
      <c r="D944" s="468"/>
      <c r="E944" s="470">
        <v>63</v>
      </c>
      <c r="F944" s="470">
        <v>0</v>
      </c>
      <c r="G944" s="470">
        <v>0</v>
      </c>
      <c r="H944" s="470">
        <v>0</v>
      </c>
      <c r="I944" s="471">
        <v>0</v>
      </c>
      <c r="J944" s="471"/>
    </row>
    <row r="945" spans="1:10" ht="76.5" outlineLevel="4">
      <c r="A945" s="472" t="s">
        <v>717</v>
      </c>
      <c r="B945" s="473" t="s">
        <v>1643</v>
      </c>
      <c r="C945" s="474" t="s">
        <v>911</v>
      </c>
      <c r="D945" s="473" t="s">
        <v>912</v>
      </c>
      <c r="E945" s="475">
        <v>63</v>
      </c>
      <c r="F945" s="475">
        <v>0</v>
      </c>
      <c r="G945" s="475">
        <v>0</v>
      </c>
      <c r="H945" s="475">
        <v>0</v>
      </c>
      <c r="I945" s="471">
        <v>0</v>
      </c>
      <c r="J945" s="471"/>
    </row>
    <row r="946" spans="1:10" ht="25.5" outlineLevel="3">
      <c r="A946" s="467" t="s">
        <v>728</v>
      </c>
      <c r="B946" s="468" t="s">
        <v>1644</v>
      </c>
      <c r="C946" s="469"/>
      <c r="D946" s="468"/>
      <c r="E946" s="470">
        <v>40</v>
      </c>
      <c r="F946" s="470">
        <v>40</v>
      </c>
      <c r="G946" s="470">
        <v>21.3</v>
      </c>
      <c r="H946" s="470">
        <v>21.3</v>
      </c>
      <c r="I946" s="471">
        <v>53.25</v>
      </c>
      <c r="J946" s="471"/>
    </row>
    <row r="947" spans="1:10" ht="25.5" outlineLevel="4">
      <c r="A947" s="472" t="s">
        <v>728</v>
      </c>
      <c r="B947" s="473" t="s">
        <v>1644</v>
      </c>
      <c r="C947" s="474" t="s">
        <v>730</v>
      </c>
      <c r="D947" s="473" t="s">
        <v>731</v>
      </c>
      <c r="E947" s="475">
        <v>40</v>
      </c>
      <c r="F947" s="475">
        <v>40</v>
      </c>
      <c r="G947" s="475">
        <v>21.3</v>
      </c>
      <c r="H947" s="475">
        <v>21.3</v>
      </c>
      <c r="I947" s="471">
        <v>53.25</v>
      </c>
      <c r="J947" s="471"/>
    </row>
    <row r="948" spans="1:10" ht="63.75" outlineLevel="2">
      <c r="A948" s="462" t="s">
        <v>1645</v>
      </c>
      <c r="B948" s="463" t="s">
        <v>1646</v>
      </c>
      <c r="C948" s="464"/>
      <c r="D948" s="463"/>
      <c r="E948" s="465">
        <v>28631.800009999999</v>
      </c>
      <c r="F948" s="465">
        <v>28631.800009999999</v>
      </c>
      <c r="G948" s="465">
        <v>14275.807360000001</v>
      </c>
      <c r="H948" s="465">
        <v>12014.76986</v>
      </c>
      <c r="I948" s="466">
        <v>41.96</v>
      </c>
      <c r="J948" s="466"/>
    </row>
    <row r="949" spans="1:10" ht="51" outlineLevel="3">
      <c r="A949" s="467" t="s">
        <v>1647</v>
      </c>
      <c r="B949" s="468" t="s">
        <v>1648</v>
      </c>
      <c r="C949" s="469"/>
      <c r="D949" s="468"/>
      <c r="E949" s="470">
        <v>28631.800009999999</v>
      </c>
      <c r="F949" s="470">
        <v>28631.800009999999</v>
      </c>
      <c r="G949" s="470">
        <v>14275.807360000001</v>
      </c>
      <c r="H949" s="470">
        <v>12014.76986</v>
      </c>
      <c r="I949" s="471">
        <v>41.96</v>
      </c>
      <c r="J949" s="471"/>
    </row>
    <row r="950" spans="1:10" ht="51" outlineLevel="4">
      <c r="A950" s="472" t="s">
        <v>1647</v>
      </c>
      <c r="B950" s="473" t="s">
        <v>1648</v>
      </c>
      <c r="C950" s="474" t="s">
        <v>730</v>
      </c>
      <c r="D950" s="473" t="s">
        <v>731</v>
      </c>
      <c r="E950" s="475">
        <v>28631.800009999999</v>
      </c>
      <c r="F950" s="475">
        <v>28631.800009999999</v>
      </c>
      <c r="G950" s="475">
        <v>14275.807360000001</v>
      </c>
      <c r="H950" s="475">
        <v>12014.76986</v>
      </c>
      <c r="I950" s="471">
        <v>41.96</v>
      </c>
      <c r="J950" s="471"/>
    </row>
    <row r="951" spans="1:10" ht="63.75" outlineLevel="2">
      <c r="A951" s="462" t="s">
        <v>1649</v>
      </c>
      <c r="B951" s="463" t="s">
        <v>1650</v>
      </c>
      <c r="C951" s="464"/>
      <c r="D951" s="463"/>
      <c r="E951" s="465">
        <v>99666.7</v>
      </c>
      <c r="F951" s="465">
        <v>99666.7</v>
      </c>
      <c r="G951" s="465">
        <v>0</v>
      </c>
      <c r="H951" s="465">
        <v>0</v>
      </c>
      <c r="I951" s="466">
        <v>0</v>
      </c>
      <c r="J951" s="466"/>
    </row>
    <row r="952" spans="1:10" ht="25.5" outlineLevel="3">
      <c r="A952" s="467" t="s">
        <v>728</v>
      </c>
      <c r="B952" s="468" t="s">
        <v>1651</v>
      </c>
      <c r="C952" s="469"/>
      <c r="D952" s="468"/>
      <c r="E952" s="470">
        <v>99666.7</v>
      </c>
      <c r="F952" s="470">
        <v>99666.7</v>
      </c>
      <c r="G952" s="470">
        <v>0</v>
      </c>
      <c r="H952" s="470">
        <v>0</v>
      </c>
      <c r="I952" s="471">
        <v>0</v>
      </c>
      <c r="J952" s="471"/>
    </row>
    <row r="953" spans="1:10" ht="25.5" outlineLevel="4">
      <c r="A953" s="472" t="s">
        <v>728</v>
      </c>
      <c r="B953" s="473" t="s">
        <v>1651</v>
      </c>
      <c r="C953" s="474" t="s">
        <v>730</v>
      </c>
      <c r="D953" s="473" t="s">
        <v>731</v>
      </c>
      <c r="E953" s="475">
        <v>99666.7</v>
      </c>
      <c r="F953" s="475">
        <v>99666.7</v>
      </c>
      <c r="G953" s="475">
        <v>0</v>
      </c>
      <c r="H953" s="475">
        <v>0</v>
      </c>
      <c r="I953" s="471">
        <v>0</v>
      </c>
      <c r="J953" s="471"/>
    </row>
    <row r="954" spans="1:10" ht="89.25" outlineLevel="2">
      <c r="A954" s="462" t="s">
        <v>1652</v>
      </c>
      <c r="B954" s="463" t="s">
        <v>1653</v>
      </c>
      <c r="C954" s="464"/>
      <c r="D954" s="463"/>
      <c r="E954" s="465">
        <v>585.70000000000005</v>
      </c>
      <c r="F954" s="465">
        <v>585.70000000000005</v>
      </c>
      <c r="G954" s="465">
        <v>51.856000000000002</v>
      </c>
      <c r="H954" s="465">
        <v>51.856000000000002</v>
      </c>
      <c r="I954" s="466">
        <v>8.85</v>
      </c>
      <c r="J954" s="466"/>
    </row>
    <row r="955" spans="1:10" ht="76.5" outlineLevel="3">
      <c r="A955" s="467" t="s">
        <v>717</v>
      </c>
      <c r="B955" s="468" t="s">
        <v>1654</v>
      </c>
      <c r="C955" s="469"/>
      <c r="D955" s="468"/>
      <c r="E955" s="470">
        <v>55</v>
      </c>
      <c r="F955" s="470">
        <v>55</v>
      </c>
      <c r="G955" s="470">
        <v>51.856000000000002</v>
      </c>
      <c r="H955" s="470">
        <v>51.856000000000002</v>
      </c>
      <c r="I955" s="471">
        <v>94.28</v>
      </c>
      <c r="J955" s="471"/>
    </row>
    <row r="956" spans="1:10" ht="76.5" outlineLevel="4">
      <c r="A956" s="472" t="s">
        <v>717</v>
      </c>
      <c r="B956" s="473" t="s">
        <v>1654</v>
      </c>
      <c r="C956" s="474" t="s">
        <v>726</v>
      </c>
      <c r="D956" s="473" t="s">
        <v>727</v>
      </c>
      <c r="E956" s="475">
        <v>55</v>
      </c>
      <c r="F956" s="475">
        <v>55</v>
      </c>
      <c r="G956" s="475">
        <v>51.856000000000002</v>
      </c>
      <c r="H956" s="475">
        <v>51.856000000000002</v>
      </c>
      <c r="I956" s="471">
        <v>94.28</v>
      </c>
      <c r="J956" s="471"/>
    </row>
    <row r="957" spans="1:10" ht="25.5" outlineLevel="3">
      <c r="A957" s="467" t="s">
        <v>728</v>
      </c>
      <c r="B957" s="468" t="s">
        <v>1655</v>
      </c>
      <c r="C957" s="469"/>
      <c r="D957" s="468"/>
      <c r="E957" s="470">
        <v>530.70000000000005</v>
      </c>
      <c r="F957" s="470">
        <v>530.70000000000005</v>
      </c>
      <c r="G957" s="470">
        <v>0</v>
      </c>
      <c r="H957" s="470">
        <v>0</v>
      </c>
      <c r="I957" s="471">
        <v>0</v>
      </c>
      <c r="J957" s="471"/>
    </row>
    <row r="958" spans="1:10" ht="25.5" outlineLevel="4">
      <c r="A958" s="472" t="s">
        <v>728</v>
      </c>
      <c r="B958" s="473" t="s">
        <v>1655</v>
      </c>
      <c r="C958" s="474" t="s">
        <v>1656</v>
      </c>
      <c r="D958" s="473" t="s">
        <v>1657</v>
      </c>
      <c r="E958" s="475">
        <v>372.3</v>
      </c>
      <c r="F958" s="475">
        <v>372.3</v>
      </c>
      <c r="G958" s="475">
        <v>0</v>
      </c>
      <c r="H958" s="475">
        <v>0</v>
      </c>
      <c r="I958" s="471">
        <v>0</v>
      </c>
      <c r="J958" s="471"/>
    </row>
    <row r="959" spans="1:10" ht="25.5" outlineLevel="4">
      <c r="A959" s="472" t="s">
        <v>728</v>
      </c>
      <c r="B959" s="473" t="s">
        <v>1655</v>
      </c>
      <c r="C959" s="474" t="s">
        <v>911</v>
      </c>
      <c r="D959" s="473" t="s">
        <v>912</v>
      </c>
      <c r="E959" s="475">
        <v>158.4</v>
      </c>
      <c r="F959" s="475">
        <v>158.4</v>
      </c>
      <c r="G959" s="475">
        <v>0</v>
      </c>
      <c r="H959" s="475">
        <v>0</v>
      </c>
      <c r="I959" s="471">
        <v>0</v>
      </c>
      <c r="J959" s="471"/>
    </row>
    <row r="960" spans="1:10" ht="63.75" outlineLevel="2">
      <c r="A960" s="462" t="s">
        <v>1658</v>
      </c>
      <c r="B960" s="463" t="s">
        <v>1659</v>
      </c>
      <c r="C960" s="464"/>
      <c r="D960" s="463"/>
      <c r="E960" s="465">
        <v>52</v>
      </c>
      <c r="F960" s="465">
        <v>52</v>
      </c>
      <c r="G960" s="465">
        <v>0</v>
      </c>
      <c r="H960" s="465">
        <v>0</v>
      </c>
      <c r="I960" s="466">
        <v>0</v>
      </c>
      <c r="J960" s="466"/>
    </row>
    <row r="961" spans="1:10" ht="25.5" outlineLevel="3">
      <c r="A961" s="467" t="s">
        <v>728</v>
      </c>
      <c r="B961" s="468" t="s">
        <v>1660</v>
      </c>
      <c r="C961" s="469"/>
      <c r="D961" s="468"/>
      <c r="E961" s="470">
        <v>52</v>
      </c>
      <c r="F961" s="470">
        <v>52</v>
      </c>
      <c r="G961" s="470">
        <v>0</v>
      </c>
      <c r="H961" s="470">
        <v>0</v>
      </c>
      <c r="I961" s="471">
        <v>0</v>
      </c>
      <c r="J961" s="471"/>
    </row>
    <row r="962" spans="1:10" ht="25.5" outlineLevel="4">
      <c r="A962" s="472" t="s">
        <v>728</v>
      </c>
      <c r="B962" s="473" t="s">
        <v>1660</v>
      </c>
      <c r="C962" s="474" t="s">
        <v>730</v>
      </c>
      <c r="D962" s="473" t="s">
        <v>731</v>
      </c>
      <c r="E962" s="475">
        <v>52</v>
      </c>
      <c r="F962" s="475">
        <v>52</v>
      </c>
      <c r="G962" s="475">
        <v>0</v>
      </c>
      <c r="H962" s="475">
        <v>0</v>
      </c>
      <c r="I962" s="471">
        <v>0</v>
      </c>
      <c r="J962" s="471"/>
    </row>
    <row r="963" spans="1:10" ht="25.5" outlineLevel="1">
      <c r="A963" s="457" t="s">
        <v>1661</v>
      </c>
      <c r="B963" s="458" t="s">
        <v>1662</v>
      </c>
      <c r="C963" s="459"/>
      <c r="D963" s="458"/>
      <c r="E963" s="460">
        <v>1484474.8586899999</v>
      </c>
      <c r="F963" s="460">
        <v>1469041.5586900001</v>
      </c>
      <c r="G963" s="460">
        <v>717395.97944000002</v>
      </c>
      <c r="H963" s="460">
        <v>641584.98930000002</v>
      </c>
      <c r="I963" s="461">
        <v>43.22</v>
      </c>
      <c r="J963" s="461"/>
    </row>
    <row r="964" spans="1:10" ht="63.75" outlineLevel="2">
      <c r="A964" s="462" t="s">
        <v>1663</v>
      </c>
      <c r="B964" s="463" t="s">
        <v>1664</v>
      </c>
      <c r="C964" s="464"/>
      <c r="D964" s="463"/>
      <c r="E964" s="465">
        <v>106792.85707</v>
      </c>
      <c r="F964" s="465">
        <v>91359.557069999995</v>
      </c>
      <c r="G964" s="465">
        <v>39884.696759999999</v>
      </c>
      <c r="H964" s="465">
        <v>29092.09722</v>
      </c>
      <c r="I964" s="466">
        <v>27.24</v>
      </c>
      <c r="J964" s="466"/>
    </row>
    <row r="965" spans="1:10" ht="76.5" outlineLevel="3">
      <c r="A965" s="467" t="s">
        <v>717</v>
      </c>
      <c r="B965" s="468" t="s">
        <v>1665</v>
      </c>
      <c r="C965" s="469"/>
      <c r="D965" s="468"/>
      <c r="E965" s="470">
        <v>72581.147020000004</v>
      </c>
      <c r="F965" s="470">
        <v>57147.847020000001</v>
      </c>
      <c r="G965" s="470">
        <v>5672.9867100000001</v>
      </c>
      <c r="H965" s="470">
        <v>5072.8064800000002</v>
      </c>
      <c r="I965" s="471">
        <v>6.99</v>
      </c>
      <c r="J965" s="471"/>
    </row>
    <row r="966" spans="1:10" ht="76.5" outlineLevel="4">
      <c r="A966" s="472" t="s">
        <v>717</v>
      </c>
      <c r="B966" s="473" t="s">
        <v>1665</v>
      </c>
      <c r="C966" s="474" t="s">
        <v>730</v>
      </c>
      <c r="D966" s="473" t="s">
        <v>731</v>
      </c>
      <c r="E966" s="475">
        <v>72581.147020000004</v>
      </c>
      <c r="F966" s="475">
        <v>57147.847020000001</v>
      </c>
      <c r="G966" s="475">
        <v>5672.9867100000001</v>
      </c>
      <c r="H966" s="475">
        <v>5072.8064800000002</v>
      </c>
      <c r="I966" s="471">
        <v>6.99</v>
      </c>
      <c r="J966" s="471"/>
    </row>
    <row r="967" spans="1:10" ht="51" outlineLevel="3">
      <c r="A967" s="467" t="s">
        <v>816</v>
      </c>
      <c r="B967" s="468" t="s">
        <v>1666</v>
      </c>
      <c r="C967" s="469"/>
      <c r="D967" s="468"/>
      <c r="E967" s="470">
        <v>34211.710050000002</v>
      </c>
      <c r="F967" s="470">
        <v>34211.710050000002</v>
      </c>
      <c r="G967" s="470">
        <v>34211.710050000002</v>
      </c>
      <c r="H967" s="470">
        <v>24019.29074</v>
      </c>
      <c r="I967" s="471">
        <v>70.209999999999994</v>
      </c>
      <c r="J967" s="471"/>
    </row>
    <row r="968" spans="1:10" ht="51" outlineLevel="4">
      <c r="A968" s="472" t="s">
        <v>816</v>
      </c>
      <c r="B968" s="473" t="s">
        <v>1666</v>
      </c>
      <c r="C968" s="474" t="s">
        <v>818</v>
      </c>
      <c r="D968" s="473" t="s">
        <v>819</v>
      </c>
      <c r="E968" s="475">
        <v>34211.710050000002</v>
      </c>
      <c r="F968" s="475">
        <v>34211.710050000002</v>
      </c>
      <c r="G968" s="475">
        <v>34211.710050000002</v>
      </c>
      <c r="H968" s="475">
        <v>24019.29074</v>
      </c>
      <c r="I968" s="471">
        <v>70.209999999999994</v>
      </c>
      <c r="J968" s="471"/>
    </row>
    <row r="969" spans="1:10" ht="38.25" outlineLevel="2">
      <c r="A969" s="462" t="s">
        <v>1667</v>
      </c>
      <c r="B969" s="463" t="s">
        <v>1668</v>
      </c>
      <c r="C969" s="464"/>
      <c r="D969" s="463"/>
      <c r="E969" s="465">
        <v>1337842.27752</v>
      </c>
      <c r="F969" s="465">
        <v>1337842.27752</v>
      </c>
      <c r="G969" s="465">
        <v>669287.40020999999</v>
      </c>
      <c r="H969" s="465">
        <v>606553.28486000001</v>
      </c>
      <c r="I969" s="466">
        <v>45.34</v>
      </c>
      <c r="J969" s="466"/>
    </row>
    <row r="970" spans="1:10" ht="76.5" outlineLevel="3">
      <c r="A970" s="467" t="s">
        <v>717</v>
      </c>
      <c r="B970" s="468" t="s">
        <v>1669</v>
      </c>
      <c r="C970" s="469"/>
      <c r="D970" s="468"/>
      <c r="E970" s="470">
        <v>1322495.20655</v>
      </c>
      <c r="F970" s="470">
        <v>1322495.20655</v>
      </c>
      <c r="G970" s="470">
        <v>666171.67640999996</v>
      </c>
      <c r="H970" s="470">
        <v>604415.62248000002</v>
      </c>
      <c r="I970" s="471">
        <v>45.7</v>
      </c>
      <c r="J970" s="471"/>
    </row>
    <row r="971" spans="1:10" ht="76.5" outlineLevel="4">
      <c r="A971" s="472" t="s">
        <v>717</v>
      </c>
      <c r="B971" s="473" t="s">
        <v>1669</v>
      </c>
      <c r="C971" s="474" t="s">
        <v>730</v>
      </c>
      <c r="D971" s="473" t="s">
        <v>731</v>
      </c>
      <c r="E971" s="475">
        <v>1322495.20655</v>
      </c>
      <c r="F971" s="475">
        <v>1322495.20655</v>
      </c>
      <c r="G971" s="475">
        <v>666171.67640999996</v>
      </c>
      <c r="H971" s="475">
        <v>604415.62248000002</v>
      </c>
      <c r="I971" s="471">
        <v>45.7</v>
      </c>
      <c r="J971" s="471"/>
    </row>
    <row r="972" spans="1:10" ht="63.75" outlineLevel="3">
      <c r="A972" s="467" t="s">
        <v>62</v>
      </c>
      <c r="B972" s="468" t="s">
        <v>1670</v>
      </c>
      <c r="C972" s="469"/>
      <c r="D972" s="468"/>
      <c r="E972" s="470">
        <v>14742.999970000001</v>
      </c>
      <c r="F972" s="470">
        <v>14742.999970000001</v>
      </c>
      <c r="G972" s="470">
        <v>3044.0268099999998</v>
      </c>
      <c r="H972" s="470">
        <v>2072.4223900000002</v>
      </c>
      <c r="I972" s="471">
        <v>14.06</v>
      </c>
      <c r="J972" s="471"/>
    </row>
    <row r="973" spans="1:10" ht="63.75" outlineLevel="4">
      <c r="A973" s="472" t="s">
        <v>62</v>
      </c>
      <c r="B973" s="473" t="s">
        <v>1670</v>
      </c>
      <c r="C973" s="474" t="s">
        <v>730</v>
      </c>
      <c r="D973" s="473" t="s">
        <v>731</v>
      </c>
      <c r="E973" s="475">
        <v>14742.999970000001</v>
      </c>
      <c r="F973" s="475">
        <v>14742.999970000001</v>
      </c>
      <c r="G973" s="475">
        <v>3044.0268099999998</v>
      </c>
      <c r="H973" s="475">
        <v>2072.4223900000002</v>
      </c>
      <c r="I973" s="471">
        <v>14.06</v>
      </c>
      <c r="J973" s="471"/>
    </row>
    <row r="974" spans="1:10" ht="76.5" outlineLevel="3">
      <c r="A974" s="467" t="s">
        <v>157</v>
      </c>
      <c r="B974" s="468" t="s">
        <v>1671</v>
      </c>
      <c r="C974" s="469"/>
      <c r="D974" s="468"/>
      <c r="E974" s="470">
        <v>134.66499999999999</v>
      </c>
      <c r="F974" s="470">
        <v>134.66499999999999</v>
      </c>
      <c r="G974" s="470">
        <v>27.439990000000002</v>
      </c>
      <c r="H974" s="470">
        <v>27.439990000000002</v>
      </c>
      <c r="I974" s="471">
        <v>20.38</v>
      </c>
      <c r="J974" s="471"/>
    </row>
    <row r="975" spans="1:10" ht="76.5" outlineLevel="4">
      <c r="A975" s="472" t="s">
        <v>157</v>
      </c>
      <c r="B975" s="473" t="s">
        <v>1671</v>
      </c>
      <c r="C975" s="474" t="s">
        <v>730</v>
      </c>
      <c r="D975" s="473" t="s">
        <v>731</v>
      </c>
      <c r="E975" s="475">
        <v>134.66499999999999</v>
      </c>
      <c r="F975" s="475">
        <v>134.66499999999999</v>
      </c>
      <c r="G975" s="475">
        <v>27.439990000000002</v>
      </c>
      <c r="H975" s="475">
        <v>27.439990000000002</v>
      </c>
      <c r="I975" s="471">
        <v>20.38</v>
      </c>
      <c r="J975" s="471"/>
    </row>
    <row r="976" spans="1:10" ht="76.5" outlineLevel="3">
      <c r="A976" s="467" t="s">
        <v>1042</v>
      </c>
      <c r="B976" s="468" t="s">
        <v>1672</v>
      </c>
      <c r="C976" s="469"/>
      <c r="D976" s="468"/>
      <c r="E976" s="470">
        <v>469.40600000000001</v>
      </c>
      <c r="F976" s="470">
        <v>469.40600000000001</v>
      </c>
      <c r="G976" s="470">
        <v>44.256999999999998</v>
      </c>
      <c r="H976" s="470">
        <v>37.799999999999997</v>
      </c>
      <c r="I976" s="471">
        <v>8.0500000000000007</v>
      </c>
      <c r="J976" s="471"/>
    </row>
    <row r="977" spans="1:10" ht="76.5" outlineLevel="4">
      <c r="A977" s="472" t="s">
        <v>1042</v>
      </c>
      <c r="B977" s="473" t="s">
        <v>1672</v>
      </c>
      <c r="C977" s="474" t="s">
        <v>730</v>
      </c>
      <c r="D977" s="473" t="s">
        <v>731</v>
      </c>
      <c r="E977" s="475">
        <v>469.40600000000001</v>
      </c>
      <c r="F977" s="475">
        <v>469.40600000000001</v>
      </c>
      <c r="G977" s="475">
        <v>44.256999999999998</v>
      </c>
      <c r="H977" s="475">
        <v>37.799999999999997</v>
      </c>
      <c r="I977" s="471">
        <v>8.0500000000000007</v>
      </c>
      <c r="J977" s="471"/>
    </row>
    <row r="978" spans="1:10" ht="63.75" outlineLevel="2">
      <c r="A978" s="462" t="s">
        <v>1673</v>
      </c>
      <c r="B978" s="463" t="s">
        <v>1674</v>
      </c>
      <c r="C978" s="464"/>
      <c r="D978" s="463"/>
      <c r="E978" s="465">
        <v>38148.738700000002</v>
      </c>
      <c r="F978" s="465">
        <v>38148.738700000002</v>
      </c>
      <c r="G978" s="465">
        <v>6900.9744700000001</v>
      </c>
      <c r="H978" s="465">
        <v>4675.5100199999997</v>
      </c>
      <c r="I978" s="466">
        <v>12.26</v>
      </c>
      <c r="J978" s="466"/>
    </row>
    <row r="979" spans="1:10" ht="76.5" outlineLevel="3">
      <c r="A979" s="467" t="s">
        <v>717</v>
      </c>
      <c r="B979" s="468" t="s">
        <v>1675</v>
      </c>
      <c r="C979" s="469"/>
      <c r="D979" s="468"/>
      <c r="E979" s="470">
        <v>38148.738700000002</v>
      </c>
      <c r="F979" s="470">
        <v>38148.738700000002</v>
      </c>
      <c r="G979" s="470">
        <v>6900.9744700000001</v>
      </c>
      <c r="H979" s="470">
        <v>4675.5100199999997</v>
      </c>
      <c r="I979" s="471">
        <v>12.26</v>
      </c>
      <c r="J979" s="471"/>
    </row>
    <row r="980" spans="1:10" ht="76.5" outlineLevel="4">
      <c r="A980" s="472" t="s">
        <v>717</v>
      </c>
      <c r="B980" s="473" t="s">
        <v>1675</v>
      </c>
      <c r="C980" s="474" t="s">
        <v>730</v>
      </c>
      <c r="D980" s="473" t="s">
        <v>731</v>
      </c>
      <c r="E980" s="475">
        <v>38148.738700000002</v>
      </c>
      <c r="F980" s="475">
        <v>38148.738700000002</v>
      </c>
      <c r="G980" s="475">
        <v>6900.9744700000001</v>
      </c>
      <c r="H980" s="475">
        <v>4675.5100199999997</v>
      </c>
      <c r="I980" s="471">
        <v>12.26</v>
      </c>
      <c r="J980" s="471"/>
    </row>
    <row r="981" spans="1:10" ht="76.5" outlineLevel="2">
      <c r="A981" s="462" t="s">
        <v>1676</v>
      </c>
      <c r="B981" s="463" t="s">
        <v>1677</v>
      </c>
      <c r="C981" s="464"/>
      <c r="D981" s="463"/>
      <c r="E981" s="465">
        <v>486.48540000000003</v>
      </c>
      <c r="F981" s="465">
        <v>486.48540000000003</v>
      </c>
      <c r="G981" s="465">
        <v>118.408</v>
      </c>
      <c r="H981" s="465">
        <v>59.597200000000001</v>
      </c>
      <c r="I981" s="466">
        <v>12.25</v>
      </c>
      <c r="J981" s="466"/>
    </row>
    <row r="982" spans="1:10" ht="76.5" outlineLevel="3">
      <c r="A982" s="467" t="s">
        <v>717</v>
      </c>
      <c r="B982" s="468" t="s">
        <v>1678</v>
      </c>
      <c r="C982" s="469"/>
      <c r="D982" s="468"/>
      <c r="E982" s="470">
        <v>113.0654</v>
      </c>
      <c r="F982" s="470">
        <v>113.0654</v>
      </c>
      <c r="G982" s="470">
        <v>72.108000000000004</v>
      </c>
      <c r="H982" s="470">
        <v>13.2972</v>
      </c>
      <c r="I982" s="471">
        <v>11.76</v>
      </c>
      <c r="J982" s="471"/>
    </row>
    <row r="983" spans="1:10" ht="76.5" outlineLevel="4">
      <c r="A983" s="472" t="s">
        <v>717</v>
      </c>
      <c r="B983" s="473" t="s">
        <v>1678</v>
      </c>
      <c r="C983" s="474" t="s">
        <v>730</v>
      </c>
      <c r="D983" s="473" t="s">
        <v>731</v>
      </c>
      <c r="E983" s="475">
        <v>113.0654</v>
      </c>
      <c r="F983" s="475">
        <v>113.0654</v>
      </c>
      <c r="G983" s="475">
        <v>72.108000000000004</v>
      </c>
      <c r="H983" s="475">
        <v>13.2972</v>
      </c>
      <c r="I983" s="471">
        <v>11.76</v>
      </c>
      <c r="J983" s="471"/>
    </row>
    <row r="984" spans="1:10" ht="76.5" outlineLevel="3">
      <c r="A984" s="467" t="s">
        <v>1042</v>
      </c>
      <c r="B984" s="468" t="s">
        <v>1679</v>
      </c>
      <c r="C984" s="469"/>
      <c r="D984" s="468"/>
      <c r="E984" s="470">
        <v>373.42</v>
      </c>
      <c r="F984" s="470">
        <v>373.42</v>
      </c>
      <c r="G984" s="470">
        <v>46.3</v>
      </c>
      <c r="H984" s="470">
        <v>46.3</v>
      </c>
      <c r="I984" s="471">
        <v>12.4</v>
      </c>
      <c r="J984" s="471"/>
    </row>
    <row r="985" spans="1:10" ht="76.5" outlineLevel="4">
      <c r="A985" s="472" t="s">
        <v>1042</v>
      </c>
      <c r="B985" s="473" t="s">
        <v>1679</v>
      </c>
      <c r="C985" s="474" t="s">
        <v>730</v>
      </c>
      <c r="D985" s="473" t="s">
        <v>731</v>
      </c>
      <c r="E985" s="475">
        <v>373.42</v>
      </c>
      <c r="F985" s="475">
        <v>373.42</v>
      </c>
      <c r="G985" s="475">
        <v>46.3</v>
      </c>
      <c r="H985" s="475">
        <v>46.3</v>
      </c>
      <c r="I985" s="471">
        <v>12.4</v>
      </c>
      <c r="J985" s="471"/>
    </row>
    <row r="986" spans="1:10" ht="38.25" outlineLevel="2">
      <c r="A986" s="462" t="s">
        <v>1680</v>
      </c>
      <c r="B986" s="463" t="s">
        <v>1681</v>
      </c>
      <c r="C986" s="464"/>
      <c r="D986" s="463"/>
      <c r="E986" s="465">
        <v>1204.5</v>
      </c>
      <c r="F986" s="465">
        <v>1204.5</v>
      </c>
      <c r="G986" s="465">
        <v>1204.5</v>
      </c>
      <c r="H986" s="465">
        <v>1204.5</v>
      </c>
      <c r="I986" s="466">
        <v>100</v>
      </c>
      <c r="J986" s="466"/>
    </row>
    <row r="987" spans="1:10" ht="25.5" outlineLevel="3">
      <c r="A987" s="467" t="s">
        <v>728</v>
      </c>
      <c r="B987" s="468" t="s">
        <v>1682</v>
      </c>
      <c r="C987" s="469"/>
      <c r="D987" s="468"/>
      <c r="E987" s="470">
        <v>1204.5</v>
      </c>
      <c r="F987" s="470">
        <v>1204.5</v>
      </c>
      <c r="G987" s="470">
        <v>1204.5</v>
      </c>
      <c r="H987" s="470">
        <v>1204.5</v>
      </c>
      <c r="I987" s="471">
        <v>100</v>
      </c>
      <c r="J987" s="471"/>
    </row>
    <row r="988" spans="1:10" ht="25.5" outlineLevel="4">
      <c r="A988" s="472" t="s">
        <v>728</v>
      </c>
      <c r="B988" s="473" t="s">
        <v>1682</v>
      </c>
      <c r="C988" s="474" t="s">
        <v>730</v>
      </c>
      <c r="D988" s="473" t="s">
        <v>731</v>
      </c>
      <c r="E988" s="475">
        <v>1204.5</v>
      </c>
      <c r="F988" s="475">
        <v>1204.5</v>
      </c>
      <c r="G988" s="475">
        <v>1204.5</v>
      </c>
      <c r="H988" s="475">
        <v>1204.5</v>
      </c>
      <c r="I988" s="471">
        <v>100</v>
      </c>
      <c r="J988" s="471"/>
    </row>
    <row r="989" spans="1:10" ht="38.25" outlineLevel="1">
      <c r="A989" s="457" t="s">
        <v>1683</v>
      </c>
      <c r="B989" s="458" t="s">
        <v>1684</v>
      </c>
      <c r="C989" s="459"/>
      <c r="D989" s="458"/>
      <c r="E989" s="460">
        <v>203777.12555999999</v>
      </c>
      <c r="F989" s="460">
        <v>203777.12555999999</v>
      </c>
      <c r="G989" s="460">
        <v>88269.658800000005</v>
      </c>
      <c r="H989" s="460">
        <v>80391.618629999997</v>
      </c>
      <c r="I989" s="461">
        <v>39.450000000000003</v>
      </c>
      <c r="J989" s="461"/>
    </row>
    <row r="990" spans="1:10" ht="63.75" outlineLevel="2">
      <c r="A990" s="462" t="s">
        <v>1685</v>
      </c>
      <c r="B990" s="463" t="s">
        <v>1686</v>
      </c>
      <c r="C990" s="464"/>
      <c r="D990" s="463"/>
      <c r="E990" s="465">
        <v>14936.921</v>
      </c>
      <c r="F990" s="465">
        <v>14936.921</v>
      </c>
      <c r="G990" s="465">
        <v>494.01571999999999</v>
      </c>
      <c r="H990" s="465">
        <v>494.01571999999999</v>
      </c>
      <c r="I990" s="466">
        <v>3.31</v>
      </c>
      <c r="J990" s="466"/>
    </row>
    <row r="991" spans="1:10" ht="76.5" outlineLevel="3">
      <c r="A991" s="467" t="s">
        <v>717</v>
      </c>
      <c r="B991" s="468" t="s">
        <v>1687</v>
      </c>
      <c r="C991" s="469"/>
      <c r="D991" s="468"/>
      <c r="E991" s="470">
        <v>14751.421</v>
      </c>
      <c r="F991" s="470">
        <v>14751.421</v>
      </c>
      <c r="G991" s="470">
        <v>331.01571999999999</v>
      </c>
      <c r="H991" s="470">
        <v>331.01571999999999</v>
      </c>
      <c r="I991" s="471">
        <v>2.2400000000000002</v>
      </c>
      <c r="J991" s="471"/>
    </row>
    <row r="992" spans="1:10" ht="76.5" outlineLevel="4">
      <c r="A992" s="472" t="s">
        <v>717</v>
      </c>
      <c r="B992" s="473" t="s">
        <v>1687</v>
      </c>
      <c r="C992" s="474" t="s">
        <v>730</v>
      </c>
      <c r="D992" s="473" t="s">
        <v>731</v>
      </c>
      <c r="E992" s="475">
        <v>14751.421</v>
      </c>
      <c r="F992" s="475">
        <v>14751.421</v>
      </c>
      <c r="G992" s="475">
        <v>331.01571999999999</v>
      </c>
      <c r="H992" s="475">
        <v>331.01571999999999</v>
      </c>
      <c r="I992" s="471">
        <v>2.2400000000000002</v>
      </c>
      <c r="J992" s="471"/>
    </row>
    <row r="993" spans="1:10" ht="76.5" outlineLevel="3">
      <c r="A993" s="467" t="s">
        <v>1042</v>
      </c>
      <c r="B993" s="468" t="s">
        <v>1688</v>
      </c>
      <c r="C993" s="469"/>
      <c r="D993" s="468"/>
      <c r="E993" s="470">
        <v>185.5</v>
      </c>
      <c r="F993" s="470">
        <v>185.5</v>
      </c>
      <c r="G993" s="470">
        <v>163</v>
      </c>
      <c r="H993" s="470">
        <v>163</v>
      </c>
      <c r="I993" s="471">
        <v>87.87</v>
      </c>
      <c r="J993" s="471"/>
    </row>
    <row r="994" spans="1:10" ht="76.5" outlineLevel="4">
      <c r="A994" s="472" t="s">
        <v>1042</v>
      </c>
      <c r="B994" s="473" t="s">
        <v>1688</v>
      </c>
      <c r="C994" s="474" t="s">
        <v>730</v>
      </c>
      <c r="D994" s="473" t="s">
        <v>731</v>
      </c>
      <c r="E994" s="475">
        <v>185.5</v>
      </c>
      <c r="F994" s="475">
        <v>185.5</v>
      </c>
      <c r="G994" s="475">
        <v>163</v>
      </c>
      <c r="H994" s="475">
        <v>163</v>
      </c>
      <c r="I994" s="471">
        <v>87.87</v>
      </c>
      <c r="J994" s="471"/>
    </row>
    <row r="995" spans="1:10" ht="51" outlineLevel="2">
      <c r="A995" s="462" t="s">
        <v>1689</v>
      </c>
      <c r="B995" s="463" t="s">
        <v>1690</v>
      </c>
      <c r="C995" s="464"/>
      <c r="D995" s="463"/>
      <c r="E995" s="465">
        <v>155479.90067999999</v>
      </c>
      <c r="F995" s="465">
        <v>155479.90067999999</v>
      </c>
      <c r="G995" s="465">
        <v>81994.05773</v>
      </c>
      <c r="H995" s="465">
        <v>74116.017559999993</v>
      </c>
      <c r="I995" s="466">
        <v>47.67</v>
      </c>
      <c r="J995" s="466"/>
    </row>
    <row r="996" spans="1:10" ht="76.5" outlineLevel="3">
      <c r="A996" s="467" t="s">
        <v>717</v>
      </c>
      <c r="B996" s="468" t="s">
        <v>1691</v>
      </c>
      <c r="C996" s="469"/>
      <c r="D996" s="468"/>
      <c r="E996" s="470">
        <v>153420.70068000001</v>
      </c>
      <c r="F996" s="470">
        <v>153420.70068000001</v>
      </c>
      <c r="G996" s="470">
        <v>81644.05773</v>
      </c>
      <c r="H996" s="470">
        <v>73974.017559999993</v>
      </c>
      <c r="I996" s="471">
        <v>48.22</v>
      </c>
      <c r="J996" s="471"/>
    </row>
    <row r="997" spans="1:10" ht="76.5" outlineLevel="4">
      <c r="A997" s="472" t="s">
        <v>717</v>
      </c>
      <c r="B997" s="473" t="s">
        <v>1691</v>
      </c>
      <c r="C997" s="474" t="s">
        <v>730</v>
      </c>
      <c r="D997" s="473" t="s">
        <v>731</v>
      </c>
      <c r="E997" s="475">
        <v>153420.70068000001</v>
      </c>
      <c r="F997" s="475">
        <v>153420.70068000001</v>
      </c>
      <c r="G997" s="475">
        <v>81644.05773</v>
      </c>
      <c r="H997" s="475">
        <v>73974.017559999993</v>
      </c>
      <c r="I997" s="471">
        <v>48.22</v>
      </c>
      <c r="J997" s="471"/>
    </row>
    <row r="998" spans="1:10" ht="63.75" outlineLevel="3">
      <c r="A998" s="467" t="s">
        <v>62</v>
      </c>
      <c r="B998" s="468" t="s">
        <v>1692</v>
      </c>
      <c r="C998" s="469"/>
      <c r="D998" s="468"/>
      <c r="E998" s="470">
        <v>2019.2</v>
      </c>
      <c r="F998" s="470">
        <v>2019.2</v>
      </c>
      <c r="G998" s="470">
        <v>350</v>
      </c>
      <c r="H998" s="470">
        <v>142</v>
      </c>
      <c r="I998" s="471">
        <v>7.03</v>
      </c>
      <c r="J998" s="471"/>
    </row>
    <row r="999" spans="1:10" ht="63.75" outlineLevel="4">
      <c r="A999" s="472" t="s">
        <v>62</v>
      </c>
      <c r="B999" s="473" t="s">
        <v>1692</v>
      </c>
      <c r="C999" s="474" t="s">
        <v>730</v>
      </c>
      <c r="D999" s="473" t="s">
        <v>731</v>
      </c>
      <c r="E999" s="475">
        <v>2019.2</v>
      </c>
      <c r="F999" s="475">
        <v>2019.2</v>
      </c>
      <c r="G999" s="475">
        <v>350</v>
      </c>
      <c r="H999" s="475">
        <v>142</v>
      </c>
      <c r="I999" s="471">
        <v>7.03</v>
      </c>
      <c r="J999" s="471"/>
    </row>
    <row r="1000" spans="1:10" ht="76.5" outlineLevel="3">
      <c r="A1000" s="467" t="s">
        <v>1042</v>
      </c>
      <c r="B1000" s="468" t="s">
        <v>1693</v>
      </c>
      <c r="C1000" s="469"/>
      <c r="D1000" s="468"/>
      <c r="E1000" s="470">
        <v>40</v>
      </c>
      <c r="F1000" s="470">
        <v>40</v>
      </c>
      <c r="G1000" s="470">
        <v>0</v>
      </c>
      <c r="H1000" s="470">
        <v>0</v>
      </c>
      <c r="I1000" s="471">
        <v>0</v>
      </c>
      <c r="J1000" s="471"/>
    </row>
    <row r="1001" spans="1:10" ht="76.5" outlineLevel="4">
      <c r="A1001" s="472" t="s">
        <v>1042</v>
      </c>
      <c r="B1001" s="473" t="s">
        <v>1693</v>
      </c>
      <c r="C1001" s="474" t="s">
        <v>730</v>
      </c>
      <c r="D1001" s="473" t="s">
        <v>731</v>
      </c>
      <c r="E1001" s="475">
        <v>40</v>
      </c>
      <c r="F1001" s="475">
        <v>40</v>
      </c>
      <c r="G1001" s="475">
        <v>0</v>
      </c>
      <c r="H1001" s="475">
        <v>0</v>
      </c>
      <c r="I1001" s="471">
        <v>0</v>
      </c>
      <c r="J1001" s="471"/>
    </row>
    <row r="1002" spans="1:10" ht="38.25" outlineLevel="2">
      <c r="A1002" s="462" t="s">
        <v>1694</v>
      </c>
      <c r="B1002" s="463" t="s">
        <v>1695</v>
      </c>
      <c r="C1002" s="464"/>
      <c r="D1002" s="463"/>
      <c r="E1002" s="465">
        <v>15282.54688</v>
      </c>
      <c r="F1002" s="465">
        <v>15282.54688</v>
      </c>
      <c r="G1002" s="465">
        <v>5499.9629000000004</v>
      </c>
      <c r="H1002" s="465">
        <v>5499.9629000000004</v>
      </c>
      <c r="I1002" s="466">
        <v>35.99</v>
      </c>
      <c r="J1002" s="466"/>
    </row>
    <row r="1003" spans="1:10" ht="76.5" outlineLevel="3">
      <c r="A1003" s="467" t="s">
        <v>717</v>
      </c>
      <c r="B1003" s="468" t="s">
        <v>1696</v>
      </c>
      <c r="C1003" s="469"/>
      <c r="D1003" s="468"/>
      <c r="E1003" s="470">
        <v>15282.54688</v>
      </c>
      <c r="F1003" s="470">
        <v>15282.54688</v>
      </c>
      <c r="G1003" s="470">
        <v>5499.9629000000004</v>
      </c>
      <c r="H1003" s="470">
        <v>5499.9629000000004</v>
      </c>
      <c r="I1003" s="471">
        <v>35.99</v>
      </c>
      <c r="J1003" s="471"/>
    </row>
    <row r="1004" spans="1:10" ht="76.5" outlineLevel="4">
      <c r="A1004" s="472" t="s">
        <v>717</v>
      </c>
      <c r="B1004" s="473" t="s">
        <v>1696</v>
      </c>
      <c r="C1004" s="474" t="s">
        <v>730</v>
      </c>
      <c r="D1004" s="473" t="s">
        <v>731</v>
      </c>
      <c r="E1004" s="475">
        <v>15282.54688</v>
      </c>
      <c r="F1004" s="475">
        <v>15282.54688</v>
      </c>
      <c r="G1004" s="475">
        <v>5499.9629000000004</v>
      </c>
      <c r="H1004" s="475">
        <v>5499.9629000000004</v>
      </c>
      <c r="I1004" s="471">
        <v>35.99</v>
      </c>
      <c r="J1004" s="471"/>
    </row>
    <row r="1005" spans="1:10" ht="63.75" outlineLevel="2">
      <c r="A1005" s="462" t="s">
        <v>1697</v>
      </c>
      <c r="B1005" s="463" t="s">
        <v>1698</v>
      </c>
      <c r="C1005" s="464"/>
      <c r="D1005" s="463"/>
      <c r="E1005" s="465">
        <v>18077.757000000001</v>
      </c>
      <c r="F1005" s="465">
        <v>18077.757000000001</v>
      </c>
      <c r="G1005" s="465">
        <v>281.62245000000001</v>
      </c>
      <c r="H1005" s="465">
        <v>281.62245000000001</v>
      </c>
      <c r="I1005" s="466">
        <v>1.56</v>
      </c>
      <c r="J1005" s="466"/>
    </row>
    <row r="1006" spans="1:10" ht="76.5" outlineLevel="3">
      <c r="A1006" s="467" t="s">
        <v>717</v>
      </c>
      <c r="B1006" s="468" t="s">
        <v>1699</v>
      </c>
      <c r="C1006" s="469"/>
      <c r="D1006" s="468"/>
      <c r="E1006" s="470">
        <v>18002.757000000001</v>
      </c>
      <c r="F1006" s="470">
        <v>18002.757000000001</v>
      </c>
      <c r="G1006" s="470">
        <v>281.62245000000001</v>
      </c>
      <c r="H1006" s="470">
        <v>281.62245000000001</v>
      </c>
      <c r="I1006" s="471">
        <v>1.56</v>
      </c>
      <c r="J1006" s="471"/>
    </row>
    <row r="1007" spans="1:10" ht="76.5" outlineLevel="4">
      <c r="A1007" s="472" t="s">
        <v>717</v>
      </c>
      <c r="B1007" s="473" t="s">
        <v>1699</v>
      </c>
      <c r="C1007" s="474" t="s">
        <v>730</v>
      </c>
      <c r="D1007" s="473" t="s">
        <v>731</v>
      </c>
      <c r="E1007" s="475">
        <v>18002.757000000001</v>
      </c>
      <c r="F1007" s="475">
        <v>18002.757000000001</v>
      </c>
      <c r="G1007" s="475">
        <v>281.62245000000001</v>
      </c>
      <c r="H1007" s="475">
        <v>281.62245000000001</v>
      </c>
      <c r="I1007" s="471">
        <v>1.56</v>
      </c>
      <c r="J1007" s="471"/>
    </row>
    <row r="1008" spans="1:10" ht="76.5" outlineLevel="3">
      <c r="A1008" s="467" t="s">
        <v>1042</v>
      </c>
      <c r="B1008" s="468" t="s">
        <v>1700</v>
      </c>
      <c r="C1008" s="469"/>
      <c r="D1008" s="468"/>
      <c r="E1008" s="470">
        <v>75</v>
      </c>
      <c r="F1008" s="470">
        <v>75</v>
      </c>
      <c r="G1008" s="470">
        <v>0</v>
      </c>
      <c r="H1008" s="470">
        <v>0</v>
      </c>
      <c r="I1008" s="471">
        <v>0</v>
      </c>
      <c r="J1008" s="471"/>
    </row>
    <row r="1009" spans="1:10" ht="76.5" outlineLevel="4">
      <c r="A1009" s="472" t="s">
        <v>1042</v>
      </c>
      <c r="B1009" s="473" t="s">
        <v>1700</v>
      </c>
      <c r="C1009" s="474" t="s">
        <v>730</v>
      </c>
      <c r="D1009" s="473" t="s">
        <v>731</v>
      </c>
      <c r="E1009" s="475">
        <v>75</v>
      </c>
      <c r="F1009" s="475">
        <v>75</v>
      </c>
      <c r="G1009" s="475">
        <v>0</v>
      </c>
      <c r="H1009" s="475">
        <v>0</v>
      </c>
      <c r="I1009" s="471">
        <v>0</v>
      </c>
      <c r="J1009" s="471"/>
    </row>
    <row r="1010" spans="1:10" ht="38.25" outlineLevel="1">
      <c r="A1010" s="457" t="s">
        <v>1034</v>
      </c>
      <c r="B1010" s="458" t="s">
        <v>1701</v>
      </c>
      <c r="C1010" s="459"/>
      <c r="D1010" s="458"/>
      <c r="E1010" s="460">
        <v>35425.56652</v>
      </c>
      <c r="F1010" s="460">
        <v>35425.56652</v>
      </c>
      <c r="G1010" s="460">
        <v>17230.750700000001</v>
      </c>
      <c r="H1010" s="460">
        <v>15875.37667</v>
      </c>
      <c r="I1010" s="461">
        <v>44.81</v>
      </c>
      <c r="J1010" s="461"/>
    </row>
    <row r="1011" spans="1:10" ht="63.75" outlineLevel="2">
      <c r="A1011" s="462" t="s">
        <v>1702</v>
      </c>
      <c r="B1011" s="463" t="s">
        <v>1703</v>
      </c>
      <c r="C1011" s="464"/>
      <c r="D1011" s="463"/>
      <c r="E1011" s="465">
        <v>35425.56652</v>
      </c>
      <c r="F1011" s="465">
        <v>35425.56652</v>
      </c>
      <c r="G1011" s="465">
        <v>17230.750700000001</v>
      </c>
      <c r="H1011" s="465">
        <v>15875.37667</v>
      </c>
      <c r="I1011" s="466">
        <v>44.81</v>
      </c>
      <c r="J1011" s="466"/>
    </row>
    <row r="1012" spans="1:10" ht="25.5" outlineLevel="3">
      <c r="A1012" s="467" t="s">
        <v>888</v>
      </c>
      <c r="B1012" s="468" t="s">
        <v>1704</v>
      </c>
      <c r="C1012" s="469"/>
      <c r="D1012" s="468"/>
      <c r="E1012" s="470">
        <v>31051.714919999999</v>
      </c>
      <c r="F1012" s="470">
        <v>31051.714919999999</v>
      </c>
      <c r="G1012" s="470">
        <v>16625</v>
      </c>
      <c r="H1012" s="470">
        <v>15282.38327</v>
      </c>
      <c r="I1012" s="471">
        <v>49.22</v>
      </c>
      <c r="J1012" s="471"/>
    </row>
    <row r="1013" spans="1:10" ht="25.5" outlineLevel="4">
      <c r="A1013" s="472" t="s">
        <v>888</v>
      </c>
      <c r="B1013" s="473" t="s">
        <v>1704</v>
      </c>
      <c r="C1013" s="474" t="s">
        <v>730</v>
      </c>
      <c r="D1013" s="473" t="s">
        <v>731</v>
      </c>
      <c r="E1013" s="475">
        <v>31051.714919999999</v>
      </c>
      <c r="F1013" s="475">
        <v>31051.714919999999</v>
      </c>
      <c r="G1013" s="475">
        <v>16625</v>
      </c>
      <c r="H1013" s="475">
        <v>15282.38327</v>
      </c>
      <c r="I1013" s="471">
        <v>49.22</v>
      </c>
      <c r="J1013" s="471"/>
    </row>
    <row r="1014" spans="1:10" ht="38.25" outlineLevel="3">
      <c r="A1014" s="467" t="s">
        <v>869</v>
      </c>
      <c r="B1014" s="468" t="s">
        <v>1705</v>
      </c>
      <c r="C1014" s="469"/>
      <c r="D1014" s="468"/>
      <c r="E1014" s="470">
        <v>1740.8516</v>
      </c>
      <c r="F1014" s="470">
        <v>1740.8516</v>
      </c>
      <c r="G1014" s="470">
        <v>522.15440000000001</v>
      </c>
      <c r="H1014" s="470">
        <v>509.39710000000002</v>
      </c>
      <c r="I1014" s="471">
        <v>29.26</v>
      </c>
      <c r="J1014" s="471"/>
    </row>
    <row r="1015" spans="1:10" ht="38.25" outlineLevel="4">
      <c r="A1015" s="472" t="s">
        <v>869</v>
      </c>
      <c r="B1015" s="473" t="s">
        <v>1705</v>
      </c>
      <c r="C1015" s="474" t="s">
        <v>730</v>
      </c>
      <c r="D1015" s="473" t="s">
        <v>731</v>
      </c>
      <c r="E1015" s="475">
        <v>1740.8516</v>
      </c>
      <c r="F1015" s="475">
        <v>1740.8516</v>
      </c>
      <c r="G1015" s="475">
        <v>522.15440000000001</v>
      </c>
      <c r="H1015" s="475">
        <v>509.39710000000002</v>
      </c>
      <c r="I1015" s="471">
        <v>29.26</v>
      </c>
      <c r="J1015" s="471"/>
    </row>
    <row r="1016" spans="1:10" ht="63.75" outlineLevel="3">
      <c r="A1016" s="467" t="s">
        <v>62</v>
      </c>
      <c r="B1016" s="468" t="s">
        <v>1706</v>
      </c>
      <c r="C1016" s="469"/>
      <c r="D1016" s="468"/>
      <c r="E1016" s="470">
        <v>288</v>
      </c>
      <c r="F1016" s="470">
        <v>288</v>
      </c>
      <c r="G1016" s="470">
        <v>33.596299999999999</v>
      </c>
      <c r="H1016" s="470">
        <v>33.596299999999999</v>
      </c>
      <c r="I1016" s="471">
        <v>11.67</v>
      </c>
      <c r="J1016" s="471"/>
    </row>
    <row r="1017" spans="1:10" ht="63.75" outlineLevel="4">
      <c r="A1017" s="472" t="s">
        <v>62</v>
      </c>
      <c r="B1017" s="473" t="s">
        <v>1706</v>
      </c>
      <c r="C1017" s="474" t="s">
        <v>730</v>
      </c>
      <c r="D1017" s="473" t="s">
        <v>731</v>
      </c>
      <c r="E1017" s="475">
        <v>288</v>
      </c>
      <c r="F1017" s="475">
        <v>288</v>
      </c>
      <c r="G1017" s="475">
        <v>33.596299999999999</v>
      </c>
      <c r="H1017" s="475">
        <v>33.596299999999999</v>
      </c>
      <c r="I1017" s="471">
        <v>11.67</v>
      </c>
      <c r="J1017" s="471"/>
    </row>
    <row r="1018" spans="1:10" ht="76.5" outlineLevel="3">
      <c r="A1018" s="467" t="s">
        <v>1042</v>
      </c>
      <c r="B1018" s="468" t="s">
        <v>1707</v>
      </c>
      <c r="C1018" s="469"/>
      <c r="D1018" s="468"/>
      <c r="E1018" s="470">
        <v>2295</v>
      </c>
      <c r="F1018" s="470">
        <v>2295</v>
      </c>
      <c r="G1018" s="470">
        <v>0</v>
      </c>
      <c r="H1018" s="470">
        <v>0</v>
      </c>
      <c r="I1018" s="471">
        <v>0</v>
      </c>
      <c r="J1018" s="471"/>
    </row>
    <row r="1019" spans="1:10" ht="76.5" outlineLevel="4">
      <c r="A1019" s="472" t="s">
        <v>1042</v>
      </c>
      <c r="B1019" s="473" t="s">
        <v>1707</v>
      </c>
      <c r="C1019" s="474" t="s">
        <v>730</v>
      </c>
      <c r="D1019" s="473" t="s">
        <v>731</v>
      </c>
      <c r="E1019" s="475">
        <v>2295</v>
      </c>
      <c r="F1019" s="475">
        <v>2295</v>
      </c>
      <c r="G1019" s="475">
        <v>0</v>
      </c>
      <c r="H1019" s="475">
        <v>0</v>
      </c>
      <c r="I1019" s="471">
        <v>0</v>
      </c>
      <c r="J1019" s="471"/>
    </row>
    <row r="1020" spans="1:10" ht="25.5" outlineLevel="3">
      <c r="A1020" s="467" t="s">
        <v>728</v>
      </c>
      <c r="B1020" s="468" t="s">
        <v>1708</v>
      </c>
      <c r="C1020" s="469"/>
      <c r="D1020" s="468"/>
      <c r="E1020" s="470">
        <v>50</v>
      </c>
      <c r="F1020" s="470">
        <v>50</v>
      </c>
      <c r="G1020" s="470">
        <v>50</v>
      </c>
      <c r="H1020" s="470">
        <v>50</v>
      </c>
      <c r="I1020" s="471">
        <v>100</v>
      </c>
      <c r="J1020" s="471"/>
    </row>
    <row r="1021" spans="1:10" ht="25.5" outlineLevel="4">
      <c r="A1021" s="472" t="s">
        <v>728</v>
      </c>
      <c r="B1021" s="473" t="s">
        <v>1708</v>
      </c>
      <c r="C1021" s="474" t="s">
        <v>730</v>
      </c>
      <c r="D1021" s="473" t="s">
        <v>731</v>
      </c>
      <c r="E1021" s="475">
        <v>50</v>
      </c>
      <c r="F1021" s="475">
        <v>50</v>
      </c>
      <c r="G1021" s="475">
        <v>50</v>
      </c>
      <c r="H1021" s="475">
        <v>50</v>
      </c>
      <c r="I1021" s="471">
        <v>100</v>
      </c>
      <c r="J1021" s="471"/>
    </row>
    <row r="1022" spans="1:10" ht="60.75" collapsed="1" thickBot="1">
      <c r="A1022" s="452" t="s">
        <v>1709</v>
      </c>
      <c r="B1022" s="453" t="s">
        <v>1710</v>
      </c>
      <c r="C1022" s="454"/>
      <c r="D1022" s="453"/>
      <c r="E1022" s="455">
        <v>773368.20967999997</v>
      </c>
      <c r="F1022" s="455">
        <v>770519.81504999998</v>
      </c>
      <c r="G1022" s="455">
        <v>189832.84062999999</v>
      </c>
      <c r="H1022" s="455">
        <v>162949.00036000001</v>
      </c>
      <c r="I1022" s="456">
        <v>21.07</v>
      </c>
      <c r="J1022" s="456"/>
    </row>
    <row r="1023" spans="1:10" ht="25.5" outlineLevel="1">
      <c r="A1023" s="457" t="s">
        <v>1711</v>
      </c>
      <c r="B1023" s="458" t="s">
        <v>1712</v>
      </c>
      <c r="C1023" s="459"/>
      <c r="D1023" s="458"/>
      <c r="E1023" s="460">
        <v>8164.0800799999997</v>
      </c>
      <c r="F1023" s="460">
        <v>8164.0800799999997</v>
      </c>
      <c r="G1023" s="460">
        <v>474.56400000000002</v>
      </c>
      <c r="H1023" s="460">
        <v>474.56400000000002</v>
      </c>
      <c r="I1023" s="461">
        <v>5.81</v>
      </c>
      <c r="J1023" s="461"/>
    </row>
    <row r="1024" spans="1:10" ht="25.5" outlineLevel="2">
      <c r="A1024" s="462" t="s">
        <v>1713</v>
      </c>
      <c r="B1024" s="463" t="s">
        <v>1714</v>
      </c>
      <c r="C1024" s="464"/>
      <c r="D1024" s="463"/>
      <c r="E1024" s="465">
        <v>1500</v>
      </c>
      <c r="F1024" s="465">
        <v>1500</v>
      </c>
      <c r="G1024" s="465">
        <v>0</v>
      </c>
      <c r="H1024" s="465">
        <v>0</v>
      </c>
      <c r="I1024" s="466">
        <v>0</v>
      </c>
      <c r="J1024" s="466"/>
    </row>
    <row r="1025" spans="1:10" ht="25.5" outlineLevel="3">
      <c r="A1025" s="467" t="s">
        <v>728</v>
      </c>
      <c r="B1025" s="468" t="s">
        <v>1715</v>
      </c>
      <c r="C1025" s="469"/>
      <c r="D1025" s="468"/>
      <c r="E1025" s="470">
        <v>1500</v>
      </c>
      <c r="F1025" s="470">
        <v>1500</v>
      </c>
      <c r="G1025" s="470">
        <v>0</v>
      </c>
      <c r="H1025" s="470">
        <v>0</v>
      </c>
      <c r="I1025" s="471">
        <v>0</v>
      </c>
      <c r="J1025" s="471"/>
    </row>
    <row r="1026" spans="1:10" ht="25.5" outlineLevel="4">
      <c r="A1026" s="472" t="s">
        <v>728</v>
      </c>
      <c r="B1026" s="473" t="s">
        <v>1715</v>
      </c>
      <c r="C1026" s="474" t="s">
        <v>1716</v>
      </c>
      <c r="D1026" s="473" t="s">
        <v>1717</v>
      </c>
      <c r="E1026" s="475">
        <v>1500</v>
      </c>
      <c r="F1026" s="475">
        <v>1500</v>
      </c>
      <c r="G1026" s="475">
        <v>0</v>
      </c>
      <c r="H1026" s="475">
        <v>0</v>
      </c>
      <c r="I1026" s="471">
        <v>0</v>
      </c>
      <c r="J1026" s="471"/>
    </row>
    <row r="1027" spans="1:10" ht="51" outlineLevel="2">
      <c r="A1027" s="462" t="s">
        <v>1718</v>
      </c>
      <c r="B1027" s="463" t="s">
        <v>1719</v>
      </c>
      <c r="C1027" s="464"/>
      <c r="D1027" s="463"/>
      <c r="E1027" s="465">
        <v>3971.6600800000001</v>
      </c>
      <c r="F1027" s="465">
        <v>3971.6600800000001</v>
      </c>
      <c r="G1027" s="465">
        <v>407.5</v>
      </c>
      <c r="H1027" s="465">
        <v>407.5</v>
      </c>
      <c r="I1027" s="466">
        <v>10.26</v>
      </c>
      <c r="J1027" s="466"/>
    </row>
    <row r="1028" spans="1:10" ht="25.5" outlineLevel="3">
      <c r="A1028" s="467" t="s">
        <v>728</v>
      </c>
      <c r="B1028" s="468" t="s">
        <v>1720</v>
      </c>
      <c r="C1028" s="469"/>
      <c r="D1028" s="468"/>
      <c r="E1028" s="470">
        <v>3971.6600800000001</v>
      </c>
      <c r="F1028" s="470">
        <v>3971.6600800000001</v>
      </c>
      <c r="G1028" s="470">
        <v>407.5</v>
      </c>
      <c r="H1028" s="470">
        <v>407.5</v>
      </c>
      <c r="I1028" s="471">
        <v>10.26</v>
      </c>
      <c r="J1028" s="471"/>
    </row>
    <row r="1029" spans="1:10" ht="25.5" outlineLevel="4">
      <c r="A1029" s="472" t="s">
        <v>728</v>
      </c>
      <c r="B1029" s="473" t="s">
        <v>1720</v>
      </c>
      <c r="C1029" s="474" t="s">
        <v>1716</v>
      </c>
      <c r="D1029" s="473" t="s">
        <v>1717</v>
      </c>
      <c r="E1029" s="475">
        <v>3971.6600800000001</v>
      </c>
      <c r="F1029" s="475">
        <v>3971.6600800000001</v>
      </c>
      <c r="G1029" s="475">
        <v>407.5</v>
      </c>
      <c r="H1029" s="475">
        <v>407.5</v>
      </c>
      <c r="I1029" s="471">
        <v>10.26</v>
      </c>
      <c r="J1029" s="471"/>
    </row>
    <row r="1030" spans="1:10" ht="25.5" outlineLevel="2">
      <c r="A1030" s="462" t="s">
        <v>1721</v>
      </c>
      <c r="B1030" s="463" t="s">
        <v>1722</v>
      </c>
      <c r="C1030" s="464"/>
      <c r="D1030" s="463"/>
      <c r="E1030" s="465">
        <v>1100</v>
      </c>
      <c r="F1030" s="465">
        <v>1100</v>
      </c>
      <c r="G1030" s="465">
        <v>0</v>
      </c>
      <c r="H1030" s="465">
        <v>0</v>
      </c>
      <c r="I1030" s="466">
        <v>0</v>
      </c>
      <c r="J1030" s="466"/>
    </row>
    <row r="1031" spans="1:10" ht="25.5" outlineLevel="3">
      <c r="A1031" s="467" t="s">
        <v>728</v>
      </c>
      <c r="B1031" s="468" t="s">
        <v>1723</v>
      </c>
      <c r="C1031" s="469"/>
      <c r="D1031" s="468"/>
      <c r="E1031" s="470">
        <v>1100</v>
      </c>
      <c r="F1031" s="470">
        <v>1100</v>
      </c>
      <c r="G1031" s="470">
        <v>0</v>
      </c>
      <c r="H1031" s="470">
        <v>0</v>
      </c>
      <c r="I1031" s="471">
        <v>0</v>
      </c>
      <c r="J1031" s="471"/>
    </row>
    <row r="1032" spans="1:10" ht="25.5" outlineLevel="4">
      <c r="A1032" s="472" t="s">
        <v>728</v>
      </c>
      <c r="B1032" s="473" t="s">
        <v>1723</v>
      </c>
      <c r="C1032" s="474" t="s">
        <v>1716</v>
      </c>
      <c r="D1032" s="473" t="s">
        <v>1717</v>
      </c>
      <c r="E1032" s="475">
        <v>1100</v>
      </c>
      <c r="F1032" s="475">
        <v>1100</v>
      </c>
      <c r="G1032" s="475">
        <v>0</v>
      </c>
      <c r="H1032" s="475">
        <v>0</v>
      </c>
      <c r="I1032" s="471">
        <v>0</v>
      </c>
      <c r="J1032" s="471"/>
    </row>
    <row r="1033" spans="1:10" ht="51" outlineLevel="2">
      <c r="A1033" s="462" t="s">
        <v>1724</v>
      </c>
      <c r="B1033" s="463" t="s">
        <v>1725</v>
      </c>
      <c r="C1033" s="464"/>
      <c r="D1033" s="463"/>
      <c r="E1033" s="465">
        <v>1592.42</v>
      </c>
      <c r="F1033" s="465">
        <v>1592.42</v>
      </c>
      <c r="G1033" s="465">
        <v>67.063999999999993</v>
      </c>
      <c r="H1033" s="465">
        <v>67.063999999999993</v>
      </c>
      <c r="I1033" s="466">
        <v>4.21</v>
      </c>
      <c r="J1033" s="466"/>
    </row>
    <row r="1034" spans="1:10" ht="76.5" outlineLevel="3">
      <c r="A1034" s="467" t="s">
        <v>717</v>
      </c>
      <c r="B1034" s="468" t="s">
        <v>1726</v>
      </c>
      <c r="C1034" s="469"/>
      <c r="D1034" s="468"/>
      <c r="E1034" s="470">
        <v>192.42</v>
      </c>
      <c r="F1034" s="470">
        <v>192.42</v>
      </c>
      <c r="G1034" s="470">
        <v>67.063999999999993</v>
      </c>
      <c r="H1034" s="470">
        <v>67.063999999999993</v>
      </c>
      <c r="I1034" s="471">
        <v>34.85</v>
      </c>
      <c r="J1034" s="471"/>
    </row>
    <row r="1035" spans="1:10" ht="76.5" outlineLevel="4">
      <c r="A1035" s="472" t="s">
        <v>717</v>
      </c>
      <c r="B1035" s="473" t="s">
        <v>1726</v>
      </c>
      <c r="C1035" s="474" t="s">
        <v>726</v>
      </c>
      <c r="D1035" s="473" t="s">
        <v>727</v>
      </c>
      <c r="E1035" s="475">
        <v>192.42</v>
      </c>
      <c r="F1035" s="475">
        <v>192.42</v>
      </c>
      <c r="G1035" s="475">
        <v>67.063999999999993</v>
      </c>
      <c r="H1035" s="475">
        <v>67.063999999999993</v>
      </c>
      <c r="I1035" s="471">
        <v>34.85</v>
      </c>
      <c r="J1035" s="471"/>
    </row>
    <row r="1036" spans="1:10" ht="25.5" outlineLevel="3">
      <c r="A1036" s="467" t="s">
        <v>728</v>
      </c>
      <c r="B1036" s="468" t="s">
        <v>1727</v>
      </c>
      <c r="C1036" s="469"/>
      <c r="D1036" s="468"/>
      <c r="E1036" s="470">
        <v>1400</v>
      </c>
      <c r="F1036" s="470">
        <v>1400</v>
      </c>
      <c r="G1036" s="470">
        <v>0</v>
      </c>
      <c r="H1036" s="470">
        <v>0</v>
      </c>
      <c r="I1036" s="471">
        <v>0</v>
      </c>
      <c r="J1036" s="471"/>
    </row>
    <row r="1037" spans="1:10" ht="25.5" outlineLevel="4">
      <c r="A1037" s="472" t="s">
        <v>728</v>
      </c>
      <c r="B1037" s="473" t="s">
        <v>1727</v>
      </c>
      <c r="C1037" s="474" t="s">
        <v>1716</v>
      </c>
      <c r="D1037" s="473" t="s">
        <v>1717</v>
      </c>
      <c r="E1037" s="475">
        <v>1400</v>
      </c>
      <c r="F1037" s="475">
        <v>1400</v>
      </c>
      <c r="G1037" s="475">
        <v>0</v>
      </c>
      <c r="H1037" s="475">
        <v>0</v>
      </c>
      <c r="I1037" s="471">
        <v>0</v>
      </c>
      <c r="J1037" s="471"/>
    </row>
    <row r="1038" spans="1:10" ht="25.5" outlineLevel="1">
      <c r="A1038" s="457" t="s">
        <v>1728</v>
      </c>
      <c r="B1038" s="458" t="s">
        <v>1729</v>
      </c>
      <c r="C1038" s="459"/>
      <c r="D1038" s="458"/>
      <c r="E1038" s="460">
        <v>128366.64002000001</v>
      </c>
      <c r="F1038" s="460">
        <v>126005.51002</v>
      </c>
      <c r="G1038" s="460">
        <v>74407.671679999999</v>
      </c>
      <c r="H1038" s="460">
        <v>68444.202680000002</v>
      </c>
      <c r="I1038" s="461">
        <v>53.32</v>
      </c>
      <c r="J1038" s="461"/>
    </row>
    <row r="1039" spans="1:10" ht="25.5" outlineLevel="2">
      <c r="A1039" s="462" t="s">
        <v>1730</v>
      </c>
      <c r="B1039" s="463" t="s">
        <v>1731</v>
      </c>
      <c r="C1039" s="464"/>
      <c r="D1039" s="463"/>
      <c r="E1039" s="465">
        <v>81203.7448</v>
      </c>
      <c r="F1039" s="465">
        <v>78842.614799999996</v>
      </c>
      <c r="G1039" s="465">
        <v>50583.671679999999</v>
      </c>
      <c r="H1039" s="465">
        <v>45826.402679999999</v>
      </c>
      <c r="I1039" s="466">
        <v>56.43</v>
      </c>
      <c r="J1039" s="466"/>
    </row>
    <row r="1040" spans="1:10" ht="76.5" outlineLevel="3">
      <c r="A1040" s="467" t="s">
        <v>1732</v>
      </c>
      <c r="B1040" s="468" t="s">
        <v>1733</v>
      </c>
      <c r="C1040" s="469"/>
      <c r="D1040" s="468"/>
      <c r="E1040" s="470">
        <v>16031.1991</v>
      </c>
      <c r="F1040" s="470">
        <v>16031.1991</v>
      </c>
      <c r="G1040" s="470">
        <v>7124.9759999999997</v>
      </c>
      <c r="H1040" s="470">
        <v>5343.732</v>
      </c>
      <c r="I1040" s="471">
        <v>33.33</v>
      </c>
      <c r="J1040" s="471"/>
    </row>
    <row r="1041" spans="1:10" ht="76.5" outlineLevel="4">
      <c r="A1041" s="472" t="s">
        <v>1732</v>
      </c>
      <c r="B1041" s="473" t="s">
        <v>1733</v>
      </c>
      <c r="C1041" s="474" t="s">
        <v>1716</v>
      </c>
      <c r="D1041" s="473" t="s">
        <v>1717</v>
      </c>
      <c r="E1041" s="475">
        <v>16031.1991</v>
      </c>
      <c r="F1041" s="475">
        <v>16031.1991</v>
      </c>
      <c r="G1041" s="475">
        <v>7124.9759999999997</v>
      </c>
      <c r="H1041" s="475">
        <v>5343.732</v>
      </c>
      <c r="I1041" s="471">
        <v>33.33</v>
      </c>
      <c r="J1041" s="471"/>
    </row>
    <row r="1042" spans="1:10" ht="76.5" outlineLevel="3">
      <c r="A1042" s="467" t="s">
        <v>717</v>
      </c>
      <c r="B1042" s="468" t="s">
        <v>1734</v>
      </c>
      <c r="C1042" s="469"/>
      <c r="D1042" s="468"/>
      <c r="E1042" s="470">
        <v>8041.7336800000003</v>
      </c>
      <c r="F1042" s="470">
        <v>6105.6036800000002</v>
      </c>
      <c r="G1042" s="470">
        <v>6105.6036800000002</v>
      </c>
      <c r="H1042" s="470">
        <v>6105.6036800000002</v>
      </c>
      <c r="I1042" s="471">
        <v>75.92</v>
      </c>
      <c r="J1042" s="471"/>
    </row>
    <row r="1043" spans="1:10" ht="76.5" outlineLevel="4">
      <c r="A1043" s="472" t="s">
        <v>717</v>
      </c>
      <c r="B1043" s="473" t="s">
        <v>1734</v>
      </c>
      <c r="C1043" s="474" t="s">
        <v>1716</v>
      </c>
      <c r="D1043" s="473" t="s">
        <v>1717</v>
      </c>
      <c r="E1043" s="475">
        <v>8041.7336800000003</v>
      </c>
      <c r="F1043" s="475">
        <v>6105.6036800000002</v>
      </c>
      <c r="G1043" s="475">
        <v>6105.6036800000002</v>
      </c>
      <c r="H1043" s="475">
        <v>6105.6036800000002</v>
      </c>
      <c r="I1043" s="471">
        <v>75.92</v>
      </c>
      <c r="J1043" s="471"/>
    </row>
    <row r="1044" spans="1:10" ht="63.75" outlineLevel="3">
      <c r="A1044" s="467" t="s">
        <v>62</v>
      </c>
      <c r="B1044" s="468" t="s">
        <v>1735</v>
      </c>
      <c r="C1044" s="469"/>
      <c r="D1044" s="468"/>
      <c r="E1044" s="470">
        <v>425</v>
      </c>
      <c r="F1044" s="470">
        <v>0</v>
      </c>
      <c r="G1044" s="470">
        <v>0</v>
      </c>
      <c r="H1044" s="470">
        <v>0</v>
      </c>
      <c r="I1044" s="471">
        <v>0</v>
      </c>
      <c r="J1044" s="471"/>
    </row>
    <row r="1045" spans="1:10" ht="63.75" outlineLevel="4">
      <c r="A1045" s="472" t="s">
        <v>62</v>
      </c>
      <c r="B1045" s="473" t="s">
        <v>1735</v>
      </c>
      <c r="C1045" s="474" t="s">
        <v>1716</v>
      </c>
      <c r="D1045" s="473" t="s">
        <v>1717</v>
      </c>
      <c r="E1045" s="475">
        <v>425</v>
      </c>
      <c r="F1045" s="475">
        <v>0</v>
      </c>
      <c r="G1045" s="475">
        <v>0</v>
      </c>
      <c r="H1045" s="475">
        <v>0</v>
      </c>
      <c r="I1045" s="471">
        <v>0</v>
      </c>
      <c r="J1045" s="471"/>
    </row>
    <row r="1046" spans="1:10" ht="25.5" outlineLevel="3">
      <c r="A1046" s="467" t="s">
        <v>1736</v>
      </c>
      <c r="B1046" s="468" t="s">
        <v>1737</v>
      </c>
      <c r="C1046" s="469"/>
      <c r="D1046" s="468"/>
      <c r="E1046" s="470">
        <v>56705.812019999998</v>
      </c>
      <c r="F1046" s="470">
        <v>56705.812019999998</v>
      </c>
      <c r="G1046" s="470">
        <v>37353.091999999997</v>
      </c>
      <c r="H1046" s="470">
        <v>34377.067000000003</v>
      </c>
      <c r="I1046" s="471">
        <v>60.62</v>
      </c>
      <c r="J1046" s="471"/>
    </row>
    <row r="1047" spans="1:10" ht="25.5" outlineLevel="4">
      <c r="A1047" s="472" t="s">
        <v>1736</v>
      </c>
      <c r="B1047" s="473" t="s">
        <v>1737</v>
      </c>
      <c r="C1047" s="474" t="s">
        <v>1716</v>
      </c>
      <c r="D1047" s="473" t="s">
        <v>1717</v>
      </c>
      <c r="E1047" s="475">
        <v>56705.812019999998</v>
      </c>
      <c r="F1047" s="475">
        <v>56705.812019999998</v>
      </c>
      <c r="G1047" s="475">
        <v>37353.091999999997</v>
      </c>
      <c r="H1047" s="475">
        <v>34377.067000000003</v>
      </c>
      <c r="I1047" s="471">
        <v>60.62</v>
      </c>
      <c r="J1047" s="476" t="s">
        <v>10</v>
      </c>
    </row>
    <row r="1048" spans="1:10" ht="38.25" outlineLevel="2">
      <c r="A1048" s="462" t="s">
        <v>1738</v>
      </c>
      <c r="B1048" s="463" t="s">
        <v>1739</v>
      </c>
      <c r="C1048" s="464"/>
      <c r="D1048" s="463"/>
      <c r="E1048" s="465">
        <v>500</v>
      </c>
      <c r="F1048" s="465">
        <v>500</v>
      </c>
      <c r="G1048" s="465">
        <v>0</v>
      </c>
      <c r="H1048" s="465">
        <v>0</v>
      </c>
      <c r="I1048" s="466">
        <v>0</v>
      </c>
      <c r="J1048" s="466"/>
    </row>
    <row r="1049" spans="1:10" ht="25.5" outlineLevel="3">
      <c r="A1049" s="467" t="s">
        <v>1736</v>
      </c>
      <c r="B1049" s="468" t="s">
        <v>1740</v>
      </c>
      <c r="C1049" s="469"/>
      <c r="D1049" s="468"/>
      <c r="E1049" s="470">
        <v>500</v>
      </c>
      <c r="F1049" s="470">
        <v>500</v>
      </c>
      <c r="G1049" s="470">
        <v>0</v>
      </c>
      <c r="H1049" s="470">
        <v>0</v>
      </c>
      <c r="I1049" s="471">
        <v>0</v>
      </c>
      <c r="J1049" s="471"/>
    </row>
    <row r="1050" spans="1:10" ht="25.5" outlineLevel="4">
      <c r="A1050" s="472" t="s">
        <v>1736</v>
      </c>
      <c r="B1050" s="473" t="s">
        <v>1740</v>
      </c>
      <c r="C1050" s="474" t="s">
        <v>1716</v>
      </c>
      <c r="D1050" s="473" t="s">
        <v>1717</v>
      </c>
      <c r="E1050" s="475">
        <v>500</v>
      </c>
      <c r="F1050" s="475">
        <v>500</v>
      </c>
      <c r="G1050" s="475">
        <v>0</v>
      </c>
      <c r="H1050" s="475">
        <v>0</v>
      </c>
      <c r="I1050" s="471">
        <v>0</v>
      </c>
      <c r="J1050" s="476" t="s">
        <v>10</v>
      </c>
    </row>
    <row r="1051" spans="1:10" ht="25.5" outlineLevel="2">
      <c r="A1051" s="462" t="s">
        <v>1741</v>
      </c>
      <c r="B1051" s="463" t="s">
        <v>1742</v>
      </c>
      <c r="C1051" s="464"/>
      <c r="D1051" s="463"/>
      <c r="E1051" s="465">
        <v>339.19522000000001</v>
      </c>
      <c r="F1051" s="465">
        <v>339.19522000000001</v>
      </c>
      <c r="G1051" s="465">
        <v>0</v>
      </c>
      <c r="H1051" s="465">
        <v>0</v>
      </c>
      <c r="I1051" s="466">
        <v>0</v>
      </c>
      <c r="J1051" s="466"/>
    </row>
    <row r="1052" spans="1:10" ht="25.5" outlineLevel="3">
      <c r="A1052" s="467" t="s">
        <v>728</v>
      </c>
      <c r="B1052" s="468" t="s">
        <v>1743</v>
      </c>
      <c r="C1052" s="469"/>
      <c r="D1052" s="468"/>
      <c r="E1052" s="470">
        <v>339.19522000000001</v>
      </c>
      <c r="F1052" s="470">
        <v>339.19522000000001</v>
      </c>
      <c r="G1052" s="470">
        <v>0</v>
      </c>
      <c r="H1052" s="470">
        <v>0</v>
      </c>
      <c r="I1052" s="471">
        <v>0</v>
      </c>
      <c r="J1052" s="471"/>
    </row>
    <row r="1053" spans="1:10" ht="25.5" outlineLevel="4">
      <c r="A1053" s="472" t="s">
        <v>728</v>
      </c>
      <c r="B1053" s="473" t="s">
        <v>1743</v>
      </c>
      <c r="C1053" s="474" t="s">
        <v>1716</v>
      </c>
      <c r="D1053" s="473" t="s">
        <v>1717</v>
      </c>
      <c r="E1053" s="475">
        <v>339.19522000000001</v>
      </c>
      <c r="F1053" s="475">
        <v>339.19522000000001</v>
      </c>
      <c r="G1053" s="475">
        <v>0</v>
      </c>
      <c r="H1053" s="475">
        <v>0</v>
      </c>
      <c r="I1053" s="471">
        <v>0</v>
      </c>
      <c r="J1053" s="471"/>
    </row>
    <row r="1054" spans="1:10" ht="38.25" outlineLevel="2">
      <c r="A1054" s="462" t="s">
        <v>1744</v>
      </c>
      <c r="B1054" s="463" t="s">
        <v>1745</v>
      </c>
      <c r="C1054" s="464"/>
      <c r="D1054" s="463"/>
      <c r="E1054" s="465">
        <v>16379</v>
      </c>
      <c r="F1054" s="465">
        <v>16379</v>
      </c>
      <c r="G1054" s="465">
        <v>0</v>
      </c>
      <c r="H1054" s="465">
        <v>0</v>
      </c>
      <c r="I1054" s="466">
        <v>0</v>
      </c>
      <c r="J1054" s="466"/>
    </row>
    <row r="1055" spans="1:10" ht="25.5" outlineLevel="3">
      <c r="A1055" s="467" t="s">
        <v>1736</v>
      </c>
      <c r="B1055" s="468" t="s">
        <v>1746</v>
      </c>
      <c r="C1055" s="469"/>
      <c r="D1055" s="468"/>
      <c r="E1055" s="470">
        <v>16379</v>
      </c>
      <c r="F1055" s="470">
        <v>16379</v>
      </c>
      <c r="G1055" s="470">
        <v>0</v>
      </c>
      <c r="H1055" s="470">
        <v>0</v>
      </c>
      <c r="I1055" s="471">
        <v>0</v>
      </c>
      <c r="J1055" s="471"/>
    </row>
    <row r="1056" spans="1:10" ht="25.5" outlineLevel="4">
      <c r="A1056" s="472" t="s">
        <v>1736</v>
      </c>
      <c r="B1056" s="473" t="s">
        <v>1746</v>
      </c>
      <c r="C1056" s="474" t="s">
        <v>1716</v>
      </c>
      <c r="D1056" s="473" t="s">
        <v>1717</v>
      </c>
      <c r="E1056" s="475">
        <v>16379</v>
      </c>
      <c r="F1056" s="475">
        <v>16379</v>
      </c>
      <c r="G1056" s="475">
        <v>0</v>
      </c>
      <c r="H1056" s="475">
        <v>0</v>
      </c>
      <c r="I1056" s="471">
        <v>0</v>
      </c>
      <c r="J1056" s="476" t="s">
        <v>10</v>
      </c>
    </row>
    <row r="1057" spans="1:10" ht="25.5" outlineLevel="2">
      <c r="A1057" s="462" t="s">
        <v>1747</v>
      </c>
      <c r="B1057" s="463" t="s">
        <v>1748</v>
      </c>
      <c r="C1057" s="464"/>
      <c r="D1057" s="463"/>
      <c r="E1057" s="465">
        <v>29944.7</v>
      </c>
      <c r="F1057" s="465">
        <v>29944.7</v>
      </c>
      <c r="G1057" s="465">
        <v>23824</v>
      </c>
      <c r="H1057" s="465">
        <v>22617.8</v>
      </c>
      <c r="I1057" s="466">
        <v>75.53</v>
      </c>
      <c r="J1057" s="466"/>
    </row>
    <row r="1058" spans="1:10" outlineLevel="3">
      <c r="A1058" s="467" t="s">
        <v>1749</v>
      </c>
      <c r="B1058" s="468" t="s">
        <v>1750</v>
      </c>
      <c r="C1058" s="469"/>
      <c r="D1058" s="468"/>
      <c r="E1058" s="470">
        <v>13268.2</v>
      </c>
      <c r="F1058" s="470">
        <v>13268.2</v>
      </c>
      <c r="G1058" s="470">
        <v>7237.2</v>
      </c>
      <c r="H1058" s="470">
        <v>6031</v>
      </c>
      <c r="I1058" s="471">
        <v>45.45</v>
      </c>
      <c r="J1058" s="471"/>
    </row>
    <row r="1059" spans="1:10" ht="25.5" outlineLevel="4">
      <c r="A1059" s="472" t="s">
        <v>1749</v>
      </c>
      <c r="B1059" s="473" t="s">
        <v>1750</v>
      </c>
      <c r="C1059" s="474" t="s">
        <v>1716</v>
      </c>
      <c r="D1059" s="473" t="s">
        <v>1717</v>
      </c>
      <c r="E1059" s="475">
        <v>13268.2</v>
      </c>
      <c r="F1059" s="475">
        <v>13268.2</v>
      </c>
      <c r="G1059" s="475">
        <v>7237.2</v>
      </c>
      <c r="H1059" s="475">
        <v>6031</v>
      </c>
      <c r="I1059" s="471">
        <v>45.45</v>
      </c>
      <c r="J1059" s="476" t="s">
        <v>10</v>
      </c>
    </row>
    <row r="1060" spans="1:10" ht="76.5" outlineLevel="3">
      <c r="A1060" s="467" t="s">
        <v>1751</v>
      </c>
      <c r="B1060" s="468" t="s">
        <v>1752</v>
      </c>
      <c r="C1060" s="469"/>
      <c r="D1060" s="468"/>
      <c r="E1060" s="470">
        <v>5444.2</v>
      </c>
      <c r="F1060" s="470">
        <v>5444.2</v>
      </c>
      <c r="G1060" s="470">
        <v>5444.2</v>
      </c>
      <c r="H1060" s="470">
        <v>5444.2</v>
      </c>
      <c r="I1060" s="471">
        <v>100</v>
      </c>
      <c r="J1060" s="471"/>
    </row>
    <row r="1061" spans="1:10" ht="76.5" outlineLevel="4">
      <c r="A1061" s="472" t="s">
        <v>1751</v>
      </c>
      <c r="B1061" s="473" t="s">
        <v>1752</v>
      </c>
      <c r="C1061" s="474" t="s">
        <v>1716</v>
      </c>
      <c r="D1061" s="473" t="s">
        <v>1717</v>
      </c>
      <c r="E1061" s="475">
        <v>5444.2</v>
      </c>
      <c r="F1061" s="475">
        <v>5444.2</v>
      </c>
      <c r="G1061" s="475">
        <v>5444.2</v>
      </c>
      <c r="H1061" s="475">
        <v>5444.2</v>
      </c>
      <c r="I1061" s="471">
        <v>100</v>
      </c>
      <c r="J1061" s="476" t="s">
        <v>10</v>
      </c>
    </row>
    <row r="1062" spans="1:10" ht="25.5" outlineLevel="3">
      <c r="A1062" s="467" t="s">
        <v>1753</v>
      </c>
      <c r="B1062" s="468" t="s">
        <v>1754</v>
      </c>
      <c r="C1062" s="469"/>
      <c r="D1062" s="468"/>
      <c r="E1062" s="470">
        <v>89.7</v>
      </c>
      <c r="F1062" s="470">
        <v>89.7</v>
      </c>
      <c r="G1062" s="470">
        <v>0</v>
      </c>
      <c r="H1062" s="470">
        <v>0</v>
      </c>
      <c r="I1062" s="471">
        <v>0</v>
      </c>
      <c r="J1062" s="471"/>
    </row>
    <row r="1063" spans="1:10" ht="25.5" outlineLevel="4">
      <c r="A1063" s="472" t="s">
        <v>1753</v>
      </c>
      <c r="B1063" s="473" t="s">
        <v>1754</v>
      </c>
      <c r="C1063" s="474" t="s">
        <v>1716</v>
      </c>
      <c r="D1063" s="473" t="s">
        <v>1717</v>
      </c>
      <c r="E1063" s="475">
        <v>89.7</v>
      </c>
      <c r="F1063" s="475">
        <v>89.7</v>
      </c>
      <c r="G1063" s="475">
        <v>0</v>
      </c>
      <c r="H1063" s="475">
        <v>0</v>
      </c>
      <c r="I1063" s="471">
        <v>0</v>
      </c>
      <c r="J1063" s="476" t="s">
        <v>10</v>
      </c>
    </row>
    <row r="1064" spans="1:10" ht="76.5" outlineLevel="3">
      <c r="A1064" s="467" t="s">
        <v>1755</v>
      </c>
      <c r="B1064" s="468" t="s">
        <v>1756</v>
      </c>
      <c r="C1064" s="469"/>
      <c r="D1064" s="468"/>
      <c r="E1064" s="470">
        <v>11142.6</v>
      </c>
      <c r="F1064" s="470">
        <v>11142.6</v>
      </c>
      <c r="G1064" s="470">
        <v>11142.6</v>
      </c>
      <c r="H1064" s="470">
        <v>11142.6</v>
      </c>
      <c r="I1064" s="471">
        <v>100</v>
      </c>
      <c r="J1064" s="471"/>
    </row>
    <row r="1065" spans="1:10" ht="76.5" outlineLevel="4">
      <c r="A1065" s="472" t="s">
        <v>1755</v>
      </c>
      <c r="B1065" s="473" t="s">
        <v>1756</v>
      </c>
      <c r="C1065" s="474" t="s">
        <v>1716</v>
      </c>
      <c r="D1065" s="473" t="s">
        <v>1717</v>
      </c>
      <c r="E1065" s="475">
        <v>11142.6</v>
      </c>
      <c r="F1065" s="475">
        <v>11142.6</v>
      </c>
      <c r="G1065" s="475">
        <v>11142.6</v>
      </c>
      <c r="H1065" s="475">
        <v>11142.6</v>
      </c>
      <c r="I1065" s="471">
        <v>100</v>
      </c>
      <c r="J1065" s="476" t="s">
        <v>10</v>
      </c>
    </row>
    <row r="1066" spans="1:10" ht="38.25" outlineLevel="1">
      <c r="A1066" s="457" t="s">
        <v>1757</v>
      </c>
      <c r="B1066" s="458" t="s">
        <v>1758</v>
      </c>
      <c r="C1066" s="459"/>
      <c r="D1066" s="458"/>
      <c r="E1066" s="460">
        <v>20735.479060000001</v>
      </c>
      <c r="F1066" s="460">
        <v>20735.479060000001</v>
      </c>
      <c r="G1066" s="460">
        <v>2947.84</v>
      </c>
      <c r="H1066" s="460">
        <v>2589</v>
      </c>
      <c r="I1066" s="461">
        <v>12.49</v>
      </c>
      <c r="J1066" s="461"/>
    </row>
    <row r="1067" spans="1:10" ht="38.25" outlineLevel="2">
      <c r="A1067" s="462" t="s">
        <v>1759</v>
      </c>
      <c r="B1067" s="463" t="s">
        <v>1760</v>
      </c>
      <c r="C1067" s="464"/>
      <c r="D1067" s="463"/>
      <c r="E1067" s="465">
        <v>12524.341490000001</v>
      </c>
      <c r="F1067" s="465">
        <v>12524.341490000001</v>
      </c>
      <c r="G1067" s="465">
        <v>0</v>
      </c>
      <c r="H1067" s="465">
        <v>0</v>
      </c>
      <c r="I1067" s="466">
        <v>0</v>
      </c>
      <c r="J1067" s="466"/>
    </row>
    <row r="1068" spans="1:10" ht="25.5" outlineLevel="3">
      <c r="A1068" s="467" t="s">
        <v>1761</v>
      </c>
      <c r="B1068" s="468" t="s">
        <v>1762</v>
      </c>
      <c r="C1068" s="469"/>
      <c r="D1068" s="468"/>
      <c r="E1068" s="470">
        <v>12524.341490000001</v>
      </c>
      <c r="F1068" s="470">
        <v>12524.341490000001</v>
      </c>
      <c r="G1068" s="470">
        <v>0</v>
      </c>
      <c r="H1068" s="470">
        <v>0</v>
      </c>
      <c r="I1068" s="471">
        <v>0</v>
      </c>
      <c r="J1068" s="471"/>
    </row>
    <row r="1069" spans="1:10" ht="25.5" outlineLevel="4">
      <c r="A1069" s="472" t="s">
        <v>1761</v>
      </c>
      <c r="B1069" s="473" t="s">
        <v>1762</v>
      </c>
      <c r="C1069" s="474" t="s">
        <v>1716</v>
      </c>
      <c r="D1069" s="473" t="s">
        <v>1717</v>
      </c>
      <c r="E1069" s="475">
        <v>12524.341490000001</v>
      </c>
      <c r="F1069" s="475">
        <v>12524.341490000001</v>
      </c>
      <c r="G1069" s="475">
        <v>0</v>
      </c>
      <c r="H1069" s="475">
        <v>0</v>
      </c>
      <c r="I1069" s="471">
        <v>0</v>
      </c>
      <c r="J1069" s="476" t="s">
        <v>10</v>
      </c>
    </row>
    <row r="1070" spans="1:10" ht="38.25" outlineLevel="2">
      <c r="A1070" s="462" t="s">
        <v>1763</v>
      </c>
      <c r="B1070" s="463" t="s">
        <v>1764</v>
      </c>
      <c r="C1070" s="464"/>
      <c r="D1070" s="463"/>
      <c r="E1070" s="465">
        <v>2190.22757</v>
      </c>
      <c r="F1070" s="465">
        <v>2190.22757</v>
      </c>
      <c r="G1070" s="465">
        <v>0</v>
      </c>
      <c r="H1070" s="465">
        <v>0</v>
      </c>
      <c r="I1070" s="466">
        <v>0</v>
      </c>
      <c r="J1070" s="466"/>
    </row>
    <row r="1071" spans="1:10" ht="25.5" outlineLevel="3">
      <c r="A1071" s="467" t="s">
        <v>1761</v>
      </c>
      <c r="B1071" s="468" t="s">
        <v>1765</v>
      </c>
      <c r="C1071" s="469"/>
      <c r="D1071" s="468"/>
      <c r="E1071" s="470">
        <v>2190.22757</v>
      </c>
      <c r="F1071" s="470">
        <v>2190.22757</v>
      </c>
      <c r="G1071" s="470">
        <v>0</v>
      </c>
      <c r="H1071" s="470">
        <v>0</v>
      </c>
      <c r="I1071" s="471">
        <v>0</v>
      </c>
      <c r="J1071" s="471"/>
    </row>
    <row r="1072" spans="1:10" ht="25.5" outlineLevel="4">
      <c r="A1072" s="472" t="s">
        <v>1761</v>
      </c>
      <c r="B1072" s="473" t="s">
        <v>1765</v>
      </c>
      <c r="C1072" s="474" t="s">
        <v>1716</v>
      </c>
      <c r="D1072" s="473" t="s">
        <v>1717</v>
      </c>
      <c r="E1072" s="475">
        <v>2190.22757</v>
      </c>
      <c r="F1072" s="475">
        <v>2190.22757</v>
      </c>
      <c r="G1072" s="475">
        <v>0</v>
      </c>
      <c r="H1072" s="475">
        <v>0</v>
      </c>
      <c r="I1072" s="471">
        <v>0</v>
      </c>
      <c r="J1072" s="476" t="s">
        <v>10</v>
      </c>
    </row>
    <row r="1073" spans="1:10" ht="51" outlineLevel="2">
      <c r="A1073" s="462" t="s">
        <v>1766</v>
      </c>
      <c r="B1073" s="463" t="s">
        <v>1767</v>
      </c>
      <c r="C1073" s="464"/>
      <c r="D1073" s="463"/>
      <c r="E1073" s="465">
        <v>5190.91</v>
      </c>
      <c r="F1073" s="465">
        <v>5190.91</v>
      </c>
      <c r="G1073" s="465">
        <v>2589</v>
      </c>
      <c r="H1073" s="465">
        <v>2589</v>
      </c>
      <c r="I1073" s="466">
        <v>49.88</v>
      </c>
      <c r="J1073" s="466"/>
    </row>
    <row r="1074" spans="1:10" ht="25.5" outlineLevel="3">
      <c r="A1074" s="467" t="s">
        <v>728</v>
      </c>
      <c r="B1074" s="468" t="s">
        <v>1768</v>
      </c>
      <c r="C1074" s="469"/>
      <c r="D1074" s="468"/>
      <c r="E1074" s="470">
        <v>5190.91</v>
      </c>
      <c r="F1074" s="470">
        <v>5190.91</v>
      </c>
      <c r="G1074" s="470">
        <v>2589</v>
      </c>
      <c r="H1074" s="470">
        <v>2589</v>
      </c>
      <c r="I1074" s="471">
        <v>49.88</v>
      </c>
      <c r="J1074" s="471"/>
    </row>
    <row r="1075" spans="1:10" ht="25.5" outlineLevel="4">
      <c r="A1075" s="472" t="s">
        <v>728</v>
      </c>
      <c r="B1075" s="473" t="s">
        <v>1768</v>
      </c>
      <c r="C1075" s="474" t="s">
        <v>1716</v>
      </c>
      <c r="D1075" s="473" t="s">
        <v>1717</v>
      </c>
      <c r="E1075" s="475">
        <v>5190.91</v>
      </c>
      <c r="F1075" s="475">
        <v>5190.91</v>
      </c>
      <c r="G1075" s="475">
        <v>2589</v>
      </c>
      <c r="H1075" s="475">
        <v>2589</v>
      </c>
      <c r="I1075" s="471">
        <v>49.88</v>
      </c>
      <c r="J1075" s="471"/>
    </row>
    <row r="1076" spans="1:10" ht="51" outlineLevel="2">
      <c r="A1076" s="462" t="s">
        <v>1769</v>
      </c>
      <c r="B1076" s="463" t="s">
        <v>1770</v>
      </c>
      <c r="C1076" s="464"/>
      <c r="D1076" s="463"/>
      <c r="E1076" s="465">
        <v>830</v>
      </c>
      <c r="F1076" s="465">
        <v>830</v>
      </c>
      <c r="G1076" s="465">
        <v>358.84</v>
      </c>
      <c r="H1076" s="465">
        <v>0</v>
      </c>
      <c r="I1076" s="466">
        <v>0</v>
      </c>
      <c r="J1076" s="466"/>
    </row>
    <row r="1077" spans="1:10" ht="25.5" outlineLevel="3">
      <c r="A1077" s="467" t="s">
        <v>728</v>
      </c>
      <c r="B1077" s="468" t="s">
        <v>1771</v>
      </c>
      <c r="C1077" s="469"/>
      <c r="D1077" s="468"/>
      <c r="E1077" s="470">
        <v>830</v>
      </c>
      <c r="F1077" s="470">
        <v>830</v>
      </c>
      <c r="G1077" s="470">
        <v>358.84</v>
      </c>
      <c r="H1077" s="470">
        <v>0</v>
      </c>
      <c r="I1077" s="471">
        <v>0</v>
      </c>
      <c r="J1077" s="471"/>
    </row>
    <row r="1078" spans="1:10" ht="25.5" outlineLevel="4">
      <c r="A1078" s="472" t="s">
        <v>728</v>
      </c>
      <c r="B1078" s="473" t="s">
        <v>1771</v>
      </c>
      <c r="C1078" s="474" t="s">
        <v>1716</v>
      </c>
      <c r="D1078" s="473" t="s">
        <v>1717</v>
      </c>
      <c r="E1078" s="475">
        <v>830</v>
      </c>
      <c r="F1078" s="475">
        <v>830</v>
      </c>
      <c r="G1078" s="475">
        <v>358.84</v>
      </c>
      <c r="H1078" s="475">
        <v>0</v>
      </c>
      <c r="I1078" s="471">
        <v>0</v>
      </c>
      <c r="J1078" s="471"/>
    </row>
    <row r="1079" spans="1:10" ht="38.25" outlineLevel="1">
      <c r="A1079" s="457" t="s">
        <v>1034</v>
      </c>
      <c r="B1079" s="458" t="s">
        <v>1772</v>
      </c>
      <c r="C1079" s="459"/>
      <c r="D1079" s="458"/>
      <c r="E1079" s="460">
        <v>222074.55655000001</v>
      </c>
      <c r="F1079" s="460">
        <v>221624.55655000001</v>
      </c>
      <c r="G1079" s="460">
        <v>110884.82723</v>
      </c>
      <c r="H1079" s="460">
        <v>91082.725959999996</v>
      </c>
      <c r="I1079" s="461">
        <v>41.01</v>
      </c>
      <c r="J1079" s="461"/>
    </row>
    <row r="1080" spans="1:10" ht="76.5" outlineLevel="2">
      <c r="A1080" s="462" t="s">
        <v>1773</v>
      </c>
      <c r="B1080" s="463" t="s">
        <v>1774</v>
      </c>
      <c r="C1080" s="464"/>
      <c r="D1080" s="463"/>
      <c r="E1080" s="465">
        <v>222074.55655000001</v>
      </c>
      <c r="F1080" s="465">
        <v>221624.55655000001</v>
      </c>
      <c r="G1080" s="465">
        <v>110884.82723</v>
      </c>
      <c r="H1080" s="465">
        <v>91082.725959999996</v>
      </c>
      <c r="I1080" s="466">
        <v>41.01</v>
      </c>
      <c r="J1080" s="466"/>
    </row>
    <row r="1081" spans="1:10" ht="25.5" outlineLevel="3">
      <c r="A1081" s="467" t="s">
        <v>888</v>
      </c>
      <c r="B1081" s="468" t="s">
        <v>1775</v>
      </c>
      <c r="C1081" s="469"/>
      <c r="D1081" s="468"/>
      <c r="E1081" s="470">
        <v>41193.466820000001</v>
      </c>
      <c r="F1081" s="470">
        <v>41193.466820000001</v>
      </c>
      <c r="G1081" s="470">
        <v>25478.383440000001</v>
      </c>
      <c r="H1081" s="470">
        <v>23214.681189999999</v>
      </c>
      <c r="I1081" s="471">
        <v>56.36</v>
      </c>
      <c r="J1081" s="471"/>
    </row>
    <row r="1082" spans="1:10" ht="25.5" outlineLevel="4">
      <c r="A1082" s="472" t="s">
        <v>888</v>
      </c>
      <c r="B1082" s="473" t="s">
        <v>1775</v>
      </c>
      <c r="C1082" s="474" t="s">
        <v>1716</v>
      </c>
      <c r="D1082" s="473" t="s">
        <v>1717</v>
      </c>
      <c r="E1082" s="475">
        <v>41193.466820000001</v>
      </c>
      <c r="F1082" s="475">
        <v>41193.466820000001</v>
      </c>
      <c r="G1082" s="475">
        <v>25478.383440000001</v>
      </c>
      <c r="H1082" s="475">
        <v>23214.681189999999</v>
      </c>
      <c r="I1082" s="471">
        <v>56.36</v>
      </c>
      <c r="J1082" s="471"/>
    </row>
    <row r="1083" spans="1:10" ht="38.25" outlineLevel="3">
      <c r="A1083" s="467" t="s">
        <v>869</v>
      </c>
      <c r="B1083" s="468" t="s">
        <v>1776</v>
      </c>
      <c r="C1083" s="469"/>
      <c r="D1083" s="468"/>
      <c r="E1083" s="470">
        <v>1806.38453</v>
      </c>
      <c r="F1083" s="470">
        <v>1806.38453</v>
      </c>
      <c r="G1083" s="470">
        <v>856.93425999999999</v>
      </c>
      <c r="H1083" s="470">
        <v>690.92719999999997</v>
      </c>
      <c r="I1083" s="471">
        <v>38.25</v>
      </c>
      <c r="J1083" s="471"/>
    </row>
    <row r="1084" spans="1:10" ht="38.25" outlineLevel="4">
      <c r="A1084" s="472" t="s">
        <v>869</v>
      </c>
      <c r="B1084" s="473" t="s">
        <v>1776</v>
      </c>
      <c r="C1084" s="474" t="s">
        <v>1716</v>
      </c>
      <c r="D1084" s="473" t="s">
        <v>1717</v>
      </c>
      <c r="E1084" s="475">
        <v>1806.38453</v>
      </c>
      <c r="F1084" s="475">
        <v>1806.38453</v>
      </c>
      <c r="G1084" s="475">
        <v>856.93425999999999</v>
      </c>
      <c r="H1084" s="475">
        <v>690.92719999999997</v>
      </c>
      <c r="I1084" s="471">
        <v>38.25</v>
      </c>
      <c r="J1084" s="471"/>
    </row>
    <row r="1085" spans="1:10" ht="76.5" outlineLevel="3">
      <c r="A1085" s="467" t="s">
        <v>717</v>
      </c>
      <c r="B1085" s="468" t="s">
        <v>1777</v>
      </c>
      <c r="C1085" s="469"/>
      <c r="D1085" s="468"/>
      <c r="E1085" s="470">
        <v>42988.108789999998</v>
      </c>
      <c r="F1085" s="470">
        <v>42538.108789999998</v>
      </c>
      <c r="G1085" s="470">
        <v>19746.419610000001</v>
      </c>
      <c r="H1085" s="470">
        <v>14529.354139999999</v>
      </c>
      <c r="I1085" s="471">
        <v>33.799999999999997</v>
      </c>
      <c r="J1085" s="471"/>
    </row>
    <row r="1086" spans="1:10" ht="76.5" outlineLevel="4">
      <c r="A1086" s="472" t="s">
        <v>717</v>
      </c>
      <c r="B1086" s="473" t="s">
        <v>1777</v>
      </c>
      <c r="C1086" s="474" t="s">
        <v>1716</v>
      </c>
      <c r="D1086" s="473" t="s">
        <v>1717</v>
      </c>
      <c r="E1086" s="475">
        <v>42988.108789999998</v>
      </c>
      <c r="F1086" s="475">
        <v>42538.108789999998</v>
      </c>
      <c r="G1086" s="475">
        <v>19746.419610000001</v>
      </c>
      <c r="H1086" s="475">
        <v>14529.354139999999</v>
      </c>
      <c r="I1086" s="471">
        <v>33.799999999999997</v>
      </c>
      <c r="J1086" s="471"/>
    </row>
    <row r="1087" spans="1:10" ht="63.75" outlineLevel="3">
      <c r="A1087" s="467" t="s">
        <v>62</v>
      </c>
      <c r="B1087" s="468" t="s">
        <v>1778</v>
      </c>
      <c r="C1087" s="469"/>
      <c r="D1087" s="468"/>
      <c r="E1087" s="470">
        <v>922.2</v>
      </c>
      <c r="F1087" s="470">
        <v>922.2</v>
      </c>
      <c r="G1087" s="470">
        <v>144</v>
      </c>
      <c r="H1087" s="470">
        <v>60.350999999999999</v>
      </c>
      <c r="I1087" s="471">
        <v>6.54</v>
      </c>
      <c r="J1087" s="471"/>
    </row>
    <row r="1088" spans="1:10" ht="63.75" outlineLevel="4">
      <c r="A1088" s="472" t="s">
        <v>62</v>
      </c>
      <c r="B1088" s="473" t="s">
        <v>1778</v>
      </c>
      <c r="C1088" s="474" t="s">
        <v>1716</v>
      </c>
      <c r="D1088" s="473" t="s">
        <v>1717</v>
      </c>
      <c r="E1088" s="475">
        <v>922.2</v>
      </c>
      <c r="F1088" s="475">
        <v>922.2</v>
      </c>
      <c r="G1088" s="475">
        <v>144</v>
      </c>
      <c r="H1088" s="475">
        <v>60.350999999999999</v>
      </c>
      <c r="I1088" s="471">
        <v>6.54</v>
      </c>
      <c r="J1088" s="471"/>
    </row>
    <row r="1089" spans="1:10" ht="25.5" outlineLevel="3">
      <c r="A1089" s="467" t="s">
        <v>1736</v>
      </c>
      <c r="B1089" s="468" t="s">
        <v>1779</v>
      </c>
      <c r="C1089" s="469"/>
      <c r="D1089" s="468"/>
      <c r="E1089" s="470">
        <v>124446.78797999999</v>
      </c>
      <c r="F1089" s="470">
        <v>124446.78797999999</v>
      </c>
      <c r="G1089" s="470">
        <v>61359.089919999999</v>
      </c>
      <c r="H1089" s="470">
        <v>50160.153980000003</v>
      </c>
      <c r="I1089" s="471">
        <v>40.31</v>
      </c>
      <c r="J1089" s="471"/>
    </row>
    <row r="1090" spans="1:10" ht="25.5" outlineLevel="4">
      <c r="A1090" s="472" t="s">
        <v>1736</v>
      </c>
      <c r="B1090" s="473" t="s">
        <v>1779</v>
      </c>
      <c r="C1090" s="474" t="s">
        <v>1716</v>
      </c>
      <c r="D1090" s="473" t="s">
        <v>1717</v>
      </c>
      <c r="E1090" s="475">
        <v>124446.78797999999</v>
      </c>
      <c r="F1090" s="475">
        <v>124446.78797999999</v>
      </c>
      <c r="G1090" s="475">
        <v>61359.089919999999</v>
      </c>
      <c r="H1090" s="475">
        <v>50160.153980000003</v>
      </c>
      <c r="I1090" s="471">
        <v>40.31</v>
      </c>
      <c r="J1090" s="476" t="s">
        <v>10</v>
      </c>
    </row>
    <row r="1091" spans="1:10" ht="140.25" outlineLevel="3">
      <c r="A1091" s="467" t="s">
        <v>1780</v>
      </c>
      <c r="B1091" s="468" t="s">
        <v>1781</v>
      </c>
      <c r="C1091" s="469"/>
      <c r="D1091" s="468"/>
      <c r="E1091" s="470">
        <v>10717.60843</v>
      </c>
      <c r="F1091" s="470">
        <v>10717.60843</v>
      </c>
      <c r="G1091" s="470">
        <v>3300</v>
      </c>
      <c r="H1091" s="470">
        <v>2427.2584499999998</v>
      </c>
      <c r="I1091" s="471">
        <v>22.65</v>
      </c>
      <c r="J1091" s="471"/>
    </row>
    <row r="1092" spans="1:10" ht="140.25" outlineLevel="4">
      <c r="A1092" s="472" t="s">
        <v>1780</v>
      </c>
      <c r="B1092" s="473" t="s">
        <v>1781</v>
      </c>
      <c r="C1092" s="474" t="s">
        <v>1716</v>
      </c>
      <c r="D1092" s="473" t="s">
        <v>1717</v>
      </c>
      <c r="E1092" s="475">
        <v>10717.60843</v>
      </c>
      <c r="F1092" s="475">
        <v>10717.60843</v>
      </c>
      <c r="G1092" s="475">
        <v>3300</v>
      </c>
      <c r="H1092" s="475">
        <v>2427.2584499999998</v>
      </c>
      <c r="I1092" s="471">
        <v>22.65</v>
      </c>
      <c r="J1092" s="476" t="s">
        <v>10</v>
      </c>
    </row>
    <row r="1093" spans="1:10" ht="25.5" outlineLevel="1">
      <c r="A1093" s="457" t="s">
        <v>1782</v>
      </c>
      <c r="B1093" s="458" t="s">
        <v>1783</v>
      </c>
      <c r="C1093" s="459"/>
      <c r="D1093" s="458"/>
      <c r="E1093" s="460">
        <v>389053.53765000001</v>
      </c>
      <c r="F1093" s="460">
        <v>389053.53765000001</v>
      </c>
      <c r="G1093" s="460">
        <v>0</v>
      </c>
      <c r="H1093" s="460">
        <v>0</v>
      </c>
      <c r="I1093" s="461">
        <v>0</v>
      </c>
      <c r="J1093" s="461"/>
    </row>
    <row r="1094" spans="1:10" ht="38.25" outlineLevel="2">
      <c r="A1094" s="462" t="s">
        <v>1784</v>
      </c>
      <c r="B1094" s="463" t="s">
        <v>1785</v>
      </c>
      <c r="C1094" s="464"/>
      <c r="D1094" s="463"/>
      <c r="E1094" s="465">
        <v>800</v>
      </c>
      <c r="F1094" s="465">
        <v>800</v>
      </c>
      <c r="G1094" s="465">
        <v>0</v>
      </c>
      <c r="H1094" s="465">
        <v>0</v>
      </c>
      <c r="I1094" s="466">
        <v>0</v>
      </c>
      <c r="J1094" s="466"/>
    </row>
    <row r="1095" spans="1:10" ht="25.5" outlineLevel="3">
      <c r="A1095" s="467" t="s">
        <v>728</v>
      </c>
      <c r="B1095" s="468" t="s">
        <v>1786</v>
      </c>
      <c r="C1095" s="469"/>
      <c r="D1095" s="468"/>
      <c r="E1095" s="470">
        <v>800</v>
      </c>
      <c r="F1095" s="470">
        <v>800</v>
      </c>
      <c r="G1095" s="470">
        <v>0</v>
      </c>
      <c r="H1095" s="470">
        <v>0</v>
      </c>
      <c r="I1095" s="471">
        <v>0</v>
      </c>
      <c r="J1095" s="471"/>
    </row>
    <row r="1096" spans="1:10" ht="25.5" outlineLevel="4">
      <c r="A1096" s="472" t="s">
        <v>728</v>
      </c>
      <c r="B1096" s="473" t="s">
        <v>1786</v>
      </c>
      <c r="C1096" s="474" t="s">
        <v>1716</v>
      </c>
      <c r="D1096" s="473" t="s">
        <v>1717</v>
      </c>
      <c r="E1096" s="475">
        <v>800</v>
      </c>
      <c r="F1096" s="475">
        <v>800</v>
      </c>
      <c r="G1096" s="475">
        <v>0</v>
      </c>
      <c r="H1096" s="475">
        <v>0</v>
      </c>
      <c r="I1096" s="471">
        <v>0</v>
      </c>
      <c r="J1096" s="471"/>
    </row>
    <row r="1097" spans="1:10" ht="51" outlineLevel="2">
      <c r="A1097" s="462" t="s">
        <v>1787</v>
      </c>
      <c r="B1097" s="463" t="s">
        <v>1788</v>
      </c>
      <c r="C1097" s="464"/>
      <c r="D1097" s="463"/>
      <c r="E1097" s="465">
        <v>33729.321450000003</v>
      </c>
      <c r="F1097" s="465">
        <v>33729.321450000003</v>
      </c>
      <c r="G1097" s="465">
        <v>0</v>
      </c>
      <c r="H1097" s="465">
        <v>0</v>
      </c>
      <c r="I1097" s="466">
        <v>0</v>
      </c>
      <c r="J1097" s="466"/>
    </row>
    <row r="1098" spans="1:10" ht="38.25" outlineLevel="3">
      <c r="A1098" s="467" t="s">
        <v>1789</v>
      </c>
      <c r="B1098" s="468" t="s">
        <v>1790</v>
      </c>
      <c r="C1098" s="469"/>
      <c r="D1098" s="468"/>
      <c r="E1098" s="470">
        <v>33729.321450000003</v>
      </c>
      <c r="F1098" s="470">
        <v>33729.321450000003</v>
      </c>
      <c r="G1098" s="470">
        <v>0</v>
      </c>
      <c r="H1098" s="470">
        <v>0</v>
      </c>
      <c r="I1098" s="471">
        <v>0</v>
      </c>
      <c r="J1098" s="471"/>
    </row>
    <row r="1099" spans="1:10" ht="38.25" outlineLevel="4">
      <c r="A1099" s="472" t="s">
        <v>1789</v>
      </c>
      <c r="B1099" s="473" t="s">
        <v>1790</v>
      </c>
      <c r="C1099" s="474" t="s">
        <v>1716</v>
      </c>
      <c r="D1099" s="473" t="s">
        <v>1717</v>
      </c>
      <c r="E1099" s="475">
        <v>33729.321450000003</v>
      </c>
      <c r="F1099" s="475">
        <v>33729.321450000003</v>
      </c>
      <c r="G1099" s="475">
        <v>0</v>
      </c>
      <c r="H1099" s="475">
        <v>0</v>
      </c>
      <c r="I1099" s="471">
        <v>0</v>
      </c>
      <c r="J1099" s="471"/>
    </row>
    <row r="1100" spans="1:10" ht="51" outlineLevel="2">
      <c r="A1100" s="462" t="s">
        <v>1791</v>
      </c>
      <c r="B1100" s="463" t="s">
        <v>1792</v>
      </c>
      <c r="C1100" s="464"/>
      <c r="D1100" s="463"/>
      <c r="E1100" s="465">
        <v>720</v>
      </c>
      <c r="F1100" s="465">
        <v>720</v>
      </c>
      <c r="G1100" s="465">
        <v>0</v>
      </c>
      <c r="H1100" s="465">
        <v>0</v>
      </c>
      <c r="I1100" s="466">
        <v>0</v>
      </c>
      <c r="J1100" s="466"/>
    </row>
    <row r="1101" spans="1:10" ht="25.5" outlineLevel="3">
      <c r="A1101" s="467" t="s">
        <v>728</v>
      </c>
      <c r="B1101" s="468" t="s">
        <v>1793</v>
      </c>
      <c r="C1101" s="469"/>
      <c r="D1101" s="468"/>
      <c r="E1101" s="470">
        <v>720</v>
      </c>
      <c r="F1101" s="470">
        <v>720</v>
      </c>
      <c r="G1101" s="470">
        <v>0</v>
      </c>
      <c r="H1101" s="470">
        <v>0</v>
      </c>
      <c r="I1101" s="471">
        <v>0</v>
      </c>
      <c r="J1101" s="471"/>
    </row>
    <row r="1102" spans="1:10" ht="38.25" outlineLevel="4">
      <c r="A1102" s="472" t="s">
        <v>728</v>
      </c>
      <c r="B1102" s="473" t="s">
        <v>1793</v>
      </c>
      <c r="C1102" s="474" t="s">
        <v>1597</v>
      </c>
      <c r="D1102" s="473" t="s">
        <v>1598</v>
      </c>
      <c r="E1102" s="475">
        <v>720</v>
      </c>
      <c r="F1102" s="475">
        <v>720</v>
      </c>
      <c r="G1102" s="475">
        <v>0</v>
      </c>
      <c r="H1102" s="475">
        <v>0</v>
      </c>
      <c r="I1102" s="471">
        <v>0</v>
      </c>
      <c r="J1102" s="471"/>
    </row>
    <row r="1103" spans="1:10" outlineLevel="2">
      <c r="A1103" s="462" t="s">
        <v>1794</v>
      </c>
      <c r="B1103" s="463" t="s">
        <v>1795</v>
      </c>
      <c r="C1103" s="464"/>
      <c r="D1103" s="463"/>
      <c r="E1103" s="465">
        <v>353804.21620000002</v>
      </c>
      <c r="F1103" s="465">
        <v>353804.21620000002</v>
      </c>
      <c r="G1103" s="465">
        <v>0</v>
      </c>
      <c r="H1103" s="465">
        <v>0</v>
      </c>
      <c r="I1103" s="466">
        <v>0</v>
      </c>
      <c r="J1103" s="466"/>
    </row>
    <row r="1104" spans="1:10" ht="51" outlineLevel="3">
      <c r="A1104" s="467" t="s">
        <v>1796</v>
      </c>
      <c r="B1104" s="468" t="s">
        <v>1797</v>
      </c>
      <c r="C1104" s="469"/>
      <c r="D1104" s="468"/>
      <c r="E1104" s="470">
        <v>353804.21620000002</v>
      </c>
      <c r="F1104" s="470">
        <v>353804.21620000002</v>
      </c>
      <c r="G1104" s="470">
        <v>0</v>
      </c>
      <c r="H1104" s="470">
        <v>0</v>
      </c>
      <c r="I1104" s="471">
        <v>0</v>
      </c>
      <c r="J1104" s="471"/>
    </row>
    <row r="1105" spans="1:10" ht="51" outlineLevel="4">
      <c r="A1105" s="472" t="s">
        <v>1796</v>
      </c>
      <c r="B1105" s="473" t="s">
        <v>1797</v>
      </c>
      <c r="C1105" s="474" t="s">
        <v>1716</v>
      </c>
      <c r="D1105" s="473" t="s">
        <v>1717</v>
      </c>
      <c r="E1105" s="475">
        <v>353804.21620000002</v>
      </c>
      <c r="F1105" s="475">
        <v>353804.21620000002</v>
      </c>
      <c r="G1105" s="475">
        <v>0</v>
      </c>
      <c r="H1105" s="475">
        <v>0</v>
      </c>
      <c r="I1105" s="471">
        <v>0</v>
      </c>
      <c r="J1105" s="476" t="s">
        <v>10</v>
      </c>
    </row>
    <row r="1106" spans="1:10" ht="51" outlineLevel="1">
      <c r="A1106" s="457" t="s">
        <v>1798</v>
      </c>
      <c r="B1106" s="458" t="s">
        <v>1799</v>
      </c>
      <c r="C1106" s="459"/>
      <c r="D1106" s="458"/>
      <c r="E1106" s="460">
        <v>4973.9163200000003</v>
      </c>
      <c r="F1106" s="460">
        <v>4936.6516899999997</v>
      </c>
      <c r="G1106" s="460">
        <v>1117.9377199999999</v>
      </c>
      <c r="H1106" s="460">
        <v>358.50772000000001</v>
      </c>
      <c r="I1106" s="461">
        <v>7.21</v>
      </c>
      <c r="J1106" s="461"/>
    </row>
    <row r="1107" spans="1:10" ht="51" outlineLevel="2">
      <c r="A1107" s="462" t="s">
        <v>1800</v>
      </c>
      <c r="B1107" s="463" t="s">
        <v>1801</v>
      </c>
      <c r="C1107" s="464"/>
      <c r="D1107" s="463"/>
      <c r="E1107" s="465">
        <v>2938.047</v>
      </c>
      <c r="F1107" s="465">
        <v>2938.047</v>
      </c>
      <c r="G1107" s="465">
        <v>211.43772000000001</v>
      </c>
      <c r="H1107" s="465">
        <v>198.25772000000001</v>
      </c>
      <c r="I1107" s="466">
        <v>6.75</v>
      </c>
      <c r="J1107" s="466"/>
    </row>
    <row r="1108" spans="1:10" ht="25.5" outlineLevel="3">
      <c r="A1108" s="467" t="s">
        <v>728</v>
      </c>
      <c r="B1108" s="468" t="s">
        <v>1802</v>
      </c>
      <c r="C1108" s="469"/>
      <c r="D1108" s="468"/>
      <c r="E1108" s="470">
        <v>2840.4470000000001</v>
      </c>
      <c r="F1108" s="470">
        <v>2840.4470000000001</v>
      </c>
      <c r="G1108" s="470">
        <v>211.43772000000001</v>
      </c>
      <c r="H1108" s="470">
        <v>198.25772000000001</v>
      </c>
      <c r="I1108" s="471">
        <v>6.98</v>
      </c>
      <c r="J1108" s="471"/>
    </row>
    <row r="1109" spans="1:10" ht="25.5" outlineLevel="4">
      <c r="A1109" s="472" t="s">
        <v>728</v>
      </c>
      <c r="B1109" s="473" t="s">
        <v>1802</v>
      </c>
      <c r="C1109" s="474" t="s">
        <v>1716</v>
      </c>
      <c r="D1109" s="473" t="s">
        <v>1717</v>
      </c>
      <c r="E1109" s="475">
        <v>2840.4470000000001</v>
      </c>
      <c r="F1109" s="475">
        <v>2840.4470000000001</v>
      </c>
      <c r="G1109" s="475">
        <v>211.43772000000001</v>
      </c>
      <c r="H1109" s="475">
        <v>198.25772000000001</v>
      </c>
      <c r="I1109" s="471">
        <v>6.98</v>
      </c>
      <c r="J1109" s="471"/>
    </row>
    <row r="1110" spans="1:10" ht="114.75" outlineLevel="3">
      <c r="A1110" s="467" t="s">
        <v>1803</v>
      </c>
      <c r="B1110" s="468" t="s">
        <v>1804</v>
      </c>
      <c r="C1110" s="469"/>
      <c r="D1110" s="468"/>
      <c r="E1110" s="470">
        <v>97.6</v>
      </c>
      <c r="F1110" s="470">
        <v>97.6</v>
      </c>
      <c r="G1110" s="470">
        <v>0</v>
      </c>
      <c r="H1110" s="470">
        <v>0</v>
      </c>
      <c r="I1110" s="471">
        <v>0</v>
      </c>
      <c r="J1110" s="471"/>
    </row>
    <row r="1111" spans="1:10" ht="114.75" outlineLevel="4">
      <c r="A1111" s="472" t="s">
        <v>1803</v>
      </c>
      <c r="B1111" s="473" t="s">
        <v>1804</v>
      </c>
      <c r="C1111" s="474" t="s">
        <v>1716</v>
      </c>
      <c r="D1111" s="473" t="s">
        <v>1717</v>
      </c>
      <c r="E1111" s="475">
        <v>97.6</v>
      </c>
      <c r="F1111" s="475">
        <v>97.6</v>
      </c>
      <c r="G1111" s="475">
        <v>0</v>
      </c>
      <c r="H1111" s="475">
        <v>0</v>
      </c>
      <c r="I1111" s="471">
        <v>0</v>
      </c>
      <c r="J1111" s="476" t="s">
        <v>10</v>
      </c>
    </row>
    <row r="1112" spans="1:10" ht="63.75" outlineLevel="2">
      <c r="A1112" s="462" t="s">
        <v>1805</v>
      </c>
      <c r="B1112" s="463" t="s">
        <v>1806</v>
      </c>
      <c r="C1112" s="464"/>
      <c r="D1112" s="463"/>
      <c r="E1112" s="465">
        <v>2035.86932</v>
      </c>
      <c r="F1112" s="465">
        <v>1998.6046899999999</v>
      </c>
      <c r="G1112" s="465">
        <v>906.5</v>
      </c>
      <c r="H1112" s="465">
        <v>160.25</v>
      </c>
      <c r="I1112" s="466">
        <v>7.87</v>
      </c>
      <c r="J1112" s="466"/>
    </row>
    <row r="1113" spans="1:10" ht="25.5" outlineLevel="3">
      <c r="A1113" s="467" t="s">
        <v>728</v>
      </c>
      <c r="B1113" s="468" t="s">
        <v>1807</v>
      </c>
      <c r="C1113" s="469"/>
      <c r="D1113" s="468"/>
      <c r="E1113" s="470">
        <v>1745.2912200000001</v>
      </c>
      <c r="F1113" s="470">
        <v>1741.5412200000001</v>
      </c>
      <c r="G1113" s="470">
        <v>906.5</v>
      </c>
      <c r="H1113" s="470">
        <v>160.25</v>
      </c>
      <c r="I1113" s="471">
        <v>9.18</v>
      </c>
      <c r="J1113" s="471"/>
    </row>
    <row r="1114" spans="1:10" ht="25.5" outlineLevel="4">
      <c r="A1114" s="472" t="s">
        <v>728</v>
      </c>
      <c r="B1114" s="473" t="s">
        <v>1807</v>
      </c>
      <c r="C1114" s="474" t="s">
        <v>1716</v>
      </c>
      <c r="D1114" s="473" t="s">
        <v>1717</v>
      </c>
      <c r="E1114" s="475">
        <v>1745.2912200000001</v>
      </c>
      <c r="F1114" s="475">
        <v>1741.5412200000001</v>
      </c>
      <c r="G1114" s="475">
        <v>906.5</v>
      </c>
      <c r="H1114" s="475">
        <v>160.25</v>
      </c>
      <c r="I1114" s="471">
        <v>9.18</v>
      </c>
      <c r="J1114" s="471"/>
    </row>
    <row r="1115" spans="1:10" ht="140.25" outlineLevel="3">
      <c r="A1115" s="467" t="s">
        <v>1780</v>
      </c>
      <c r="B1115" s="468" t="s">
        <v>1808</v>
      </c>
      <c r="C1115" s="469"/>
      <c r="D1115" s="468"/>
      <c r="E1115" s="470">
        <v>290.57810000000001</v>
      </c>
      <c r="F1115" s="470">
        <v>257.06347</v>
      </c>
      <c r="G1115" s="470">
        <v>0</v>
      </c>
      <c r="H1115" s="470">
        <v>0</v>
      </c>
      <c r="I1115" s="471">
        <v>0</v>
      </c>
      <c r="J1115" s="471"/>
    </row>
    <row r="1116" spans="1:10" ht="140.25" outlineLevel="4">
      <c r="A1116" s="472" t="s">
        <v>1780</v>
      </c>
      <c r="B1116" s="473" t="s">
        <v>1808</v>
      </c>
      <c r="C1116" s="474" t="s">
        <v>1716</v>
      </c>
      <c r="D1116" s="473" t="s">
        <v>1717</v>
      </c>
      <c r="E1116" s="475">
        <v>290.57810000000001</v>
      </c>
      <c r="F1116" s="475">
        <v>257.06347</v>
      </c>
      <c r="G1116" s="475">
        <v>0</v>
      </c>
      <c r="H1116" s="475">
        <v>0</v>
      </c>
      <c r="I1116" s="471">
        <v>0</v>
      </c>
      <c r="J1116" s="476" t="s">
        <v>10</v>
      </c>
    </row>
    <row r="1117" spans="1:10" ht="75.75" collapsed="1" thickBot="1">
      <c r="A1117" s="452" t="s">
        <v>1809</v>
      </c>
      <c r="B1117" s="453" t="s">
        <v>1810</v>
      </c>
      <c r="C1117" s="454"/>
      <c r="D1117" s="453"/>
      <c r="E1117" s="455">
        <v>892028.38280000002</v>
      </c>
      <c r="F1117" s="455">
        <v>767186.24219000002</v>
      </c>
      <c r="G1117" s="455">
        <v>318601.13999</v>
      </c>
      <c r="H1117" s="455">
        <v>307809.72304999997</v>
      </c>
      <c r="I1117" s="456">
        <v>34.51</v>
      </c>
      <c r="J1117" s="456"/>
    </row>
    <row r="1118" spans="1:10" ht="25.5" outlineLevel="1">
      <c r="A1118" s="457" t="s">
        <v>1811</v>
      </c>
      <c r="B1118" s="458" t="s">
        <v>1812</v>
      </c>
      <c r="C1118" s="459"/>
      <c r="D1118" s="458"/>
      <c r="E1118" s="460">
        <v>393020.20037999999</v>
      </c>
      <c r="F1118" s="460">
        <v>292354.15977000003</v>
      </c>
      <c r="G1118" s="460">
        <v>195083.99629000001</v>
      </c>
      <c r="H1118" s="460">
        <v>187030.32866</v>
      </c>
      <c r="I1118" s="461">
        <v>47.59</v>
      </c>
      <c r="J1118" s="461"/>
    </row>
    <row r="1119" spans="1:10" ht="38.25" outlineLevel="2">
      <c r="A1119" s="462" t="s">
        <v>1813</v>
      </c>
      <c r="B1119" s="463" t="s">
        <v>1814</v>
      </c>
      <c r="C1119" s="464"/>
      <c r="D1119" s="463"/>
      <c r="E1119" s="465">
        <v>11733.76713</v>
      </c>
      <c r="F1119" s="465">
        <v>4963</v>
      </c>
      <c r="G1119" s="465">
        <v>3343.9092000000001</v>
      </c>
      <c r="H1119" s="465">
        <v>3339.4151999999999</v>
      </c>
      <c r="I1119" s="466">
        <v>28.46</v>
      </c>
      <c r="J1119" s="466"/>
    </row>
    <row r="1120" spans="1:10" ht="76.5" outlineLevel="3">
      <c r="A1120" s="467" t="s">
        <v>1815</v>
      </c>
      <c r="B1120" s="468" t="s">
        <v>1816</v>
      </c>
      <c r="C1120" s="469"/>
      <c r="D1120" s="468"/>
      <c r="E1120" s="470">
        <v>1333.76713</v>
      </c>
      <c r="F1120" s="470">
        <v>0</v>
      </c>
      <c r="G1120" s="470">
        <v>0</v>
      </c>
      <c r="H1120" s="470">
        <v>0</v>
      </c>
      <c r="I1120" s="471">
        <v>0</v>
      </c>
      <c r="J1120" s="471"/>
    </row>
    <row r="1121" spans="1:10" ht="76.5" outlineLevel="4">
      <c r="A1121" s="472" t="s">
        <v>1815</v>
      </c>
      <c r="B1121" s="473" t="s">
        <v>1816</v>
      </c>
      <c r="C1121" s="474" t="s">
        <v>1817</v>
      </c>
      <c r="D1121" s="473" t="s">
        <v>1818</v>
      </c>
      <c r="E1121" s="475">
        <v>1333.76713</v>
      </c>
      <c r="F1121" s="475">
        <v>0</v>
      </c>
      <c r="G1121" s="475">
        <v>0</v>
      </c>
      <c r="H1121" s="475">
        <v>0</v>
      </c>
      <c r="I1121" s="471">
        <v>0</v>
      </c>
      <c r="J1121" s="471"/>
    </row>
    <row r="1122" spans="1:10" ht="51" outlineLevel="3">
      <c r="A1122" s="467" t="s">
        <v>1819</v>
      </c>
      <c r="B1122" s="468" t="s">
        <v>1820</v>
      </c>
      <c r="C1122" s="469"/>
      <c r="D1122" s="468"/>
      <c r="E1122" s="470">
        <v>10400</v>
      </c>
      <c r="F1122" s="470">
        <v>4963</v>
      </c>
      <c r="G1122" s="470">
        <v>3343.9092000000001</v>
      </c>
      <c r="H1122" s="470">
        <v>3339.4151999999999</v>
      </c>
      <c r="I1122" s="471">
        <v>32.11</v>
      </c>
      <c r="J1122" s="471"/>
    </row>
    <row r="1123" spans="1:10" ht="51" outlineLevel="4">
      <c r="A1123" s="472" t="s">
        <v>1819</v>
      </c>
      <c r="B1123" s="473" t="s">
        <v>1820</v>
      </c>
      <c r="C1123" s="474" t="s">
        <v>1817</v>
      </c>
      <c r="D1123" s="473" t="s">
        <v>1818</v>
      </c>
      <c r="E1123" s="475">
        <v>10400</v>
      </c>
      <c r="F1123" s="475">
        <v>4963</v>
      </c>
      <c r="G1123" s="475">
        <v>3343.9092000000001</v>
      </c>
      <c r="H1123" s="475">
        <v>3339.4151999999999</v>
      </c>
      <c r="I1123" s="471">
        <v>32.11</v>
      </c>
      <c r="J1123" s="471"/>
    </row>
    <row r="1124" spans="1:10" ht="25.5" outlineLevel="2">
      <c r="A1124" s="462" t="s">
        <v>1821</v>
      </c>
      <c r="B1124" s="463" t="s">
        <v>1822</v>
      </c>
      <c r="C1124" s="464"/>
      <c r="D1124" s="463"/>
      <c r="E1124" s="465">
        <v>14532.670459999999</v>
      </c>
      <c r="F1124" s="465">
        <v>14532.670459999999</v>
      </c>
      <c r="G1124" s="465">
        <v>1465.63384</v>
      </c>
      <c r="H1124" s="465">
        <v>1465.63384</v>
      </c>
      <c r="I1124" s="466">
        <v>10.09</v>
      </c>
      <c r="J1124" s="466"/>
    </row>
    <row r="1125" spans="1:10" ht="38.25" outlineLevel="3">
      <c r="A1125" s="467" t="s">
        <v>1823</v>
      </c>
      <c r="B1125" s="468" t="s">
        <v>1824</v>
      </c>
      <c r="C1125" s="469"/>
      <c r="D1125" s="468"/>
      <c r="E1125" s="470">
        <v>14532.670459999999</v>
      </c>
      <c r="F1125" s="470">
        <v>14532.670459999999</v>
      </c>
      <c r="G1125" s="470">
        <v>1465.63384</v>
      </c>
      <c r="H1125" s="470">
        <v>1465.63384</v>
      </c>
      <c r="I1125" s="471">
        <v>10.09</v>
      </c>
      <c r="J1125" s="471"/>
    </row>
    <row r="1126" spans="1:10" ht="38.25" outlineLevel="4">
      <c r="A1126" s="472" t="s">
        <v>1823</v>
      </c>
      <c r="B1126" s="473" t="s">
        <v>1824</v>
      </c>
      <c r="C1126" s="474" t="s">
        <v>1817</v>
      </c>
      <c r="D1126" s="473" t="s">
        <v>1818</v>
      </c>
      <c r="E1126" s="475">
        <v>14532.670459999999</v>
      </c>
      <c r="F1126" s="475">
        <v>14532.670459999999</v>
      </c>
      <c r="G1126" s="475">
        <v>1465.63384</v>
      </c>
      <c r="H1126" s="475">
        <v>1465.63384</v>
      </c>
      <c r="I1126" s="471">
        <v>10.09</v>
      </c>
      <c r="J1126" s="471"/>
    </row>
    <row r="1127" spans="1:10" ht="38.25" outlineLevel="2">
      <c r="A1127" s="462" t="s">
        <v>1825</v>
      </c>
      <c r="B1127" s="463" t="s">
        <v>1826</v>
      </c>
      <c r="C1127" s="464"/>
      <c r="D1127" s="463"/>
      <c r="E1127" s="465">
        <v>328059.08192999999</v>
      </c>
      <c r="F1127" s="465">
        <v>240963.80845000001</v>
      </c>
      <c r="G1127" s="465">
        <v>177936.39238999999</v>
      </c>
      <c r="H1127" s="465">
        <v>171011.20924</v>
      </c>
      <c r="I1127" s="466">
        <v>52.13</v>
      </c>
      <c r="J1127" s="466"/>
    </row>
    <row r="1128" spans="1:10" ht="38.25" outlineLevel="3">
      <c r="A1128" s="467" t="s">
        <v>1827</v>
      </c>
      <c r="B1128" s="468" t="s">
        <v>1828</v>
      </c>
      <c r="C1128" s="469"/>
      <c r="D1128" s="468"/>
      <c r="E1128" s="470">
        <v>228545.27348</v>
      </c>
      <c r="F1128" s="470">
        <v>141450</v>
      </c>
      <c r="G1128" s="470">
        <v>104108.34</v>
      </c>
      <c r="H1128" s="470">
        <v>97893.873439999996</v>
      </c>
      <c r="I1128" s="471">
        <v>42.83</v>
      </c>
      <c r="J1128" s="471"/>
    </row>
    <row r="1129" spans="1:10" ht="38.25" outlineLevel="4">
      <c r="A1129" s="472" t="s">
        <v>1827</v>
      </c>
      <c r="B1129" s="473" t="s">
        <v>1828</v>
      </c>
      <c r="C1129" s="474" t="s">
        <v>1817</v>
      </c>
      <c r="D1129" s="473" t="s">
        <v>1818</v>
      </c>
      <c r="E1129" s="475">
        <v>228545.27348</v>
      </c>
      <c r="F1129" s="475">
        <v>141450</v>
      </c>
      <c r="G1129" s="475">
        <v>104108.34</v>
      </c>
      <c r="H1129" s="475">
        <v>97893.873439999996</v>
      </c>
      <c r="I1129" s="471">
        <v>42.83</v>
      </c>
      <c r="J1129" s="471"/>
    </row>
    <row r="1130" spans="1:10" ht="63.75" outlineLevel="3">
      <c r="A1130" s="467" t="s">
        <v>1829</v>
      </c>
      <c r="B1130" s="468" t="s">
        <v>1830</v>
      </c>
      <c r="C1130" s="469"/>
      <c r="D1130" s="468"/>
      <c r="E1130" s="470">
        <v>57000</v>
      </c>
      <c r="F1130" s="470">
        <v>57000</v>
      </c>
      <c r="G1130" s="470">
        <v>51048.331870000002</v>
      </c>
      <c r="H1130" s="470">
        <v>51048.331870000002</v>
      </c>
      <c r="I1130" s="471">
        <v>89.56</v>
      </c>
      <c r="J1130" s="471"/>
    </row>
    <row r="1131" spans="1:10" ht="63.75" outlineLevel="4">
      <c r="A1131" s="472" t="s">
        <v>1829</v>
      </c>
      <c r="B1131" s="473" t="s">
        <v>1830</v>
      </c>
      <c r="C1131" s="474" t="s">
        <v>1817</v>
      </c>
      <c r="D1131" s="473" t="s">
        <v>1818</v>
      </c>
      <c r="E1131" s="475">
        <v>57000</v>
      </c>
      <c r="F1131" s="475">
        <v>57000</v>
      </c>
      <c r="G1131" s="475">
        <v>51048.331870000002</v>
      </c>
      <c r="H1131" s="475">
        <v>51048.331870000002</v>
      </c>
      <c r="I1131" s="471">
        <v>89.56</v>
      </c>
      <c r="J1131" s="471"/>
    </row>
    <row r="1132" spans="1:10" ht="51" outlineLevel="3">
      <c r="A1132" s="467" t="s">
        <v>1831</v>
      </c>
      <c r="B1132" s="468" t="s">
        <v>1832</v>
      </c>
      <c r="C1132" s="469"/>
      <c r="D1132" s="468"/>
      <c r="E1132" s="470">
        <v>23569.154930000001</v>
      </c>
      <c r="F1132" s="470">
        <v>23569.154930000001</v>
      </c>
      <c r="G1132" s="470">
        <v>11770</v>
      </c>
      <c r="H1132" s="470">
        <v>11059.28341</v>
      </c>
      <c r="I1132" s="471">
        <v>46.92</v>
      </c>
      <c r="J1132" s="471"/>
    </row>
    <row r="1133" spans="1:10" ht="51" outlineLevel="4">
      <c r="A1133" s="472" t="s">
        <v>1831</v>
      </c>
      <c r="B1133" s="473" t="s">
        <v>1832</v>
      </c>
      <c r="C1133" s="474" t="s">
        <v>1817</v>
      </c>
      <c r="D1133" s="473" t="s">
        <v>1818</v>
      </c>
      <c r="E1133" s="475">
        <v>23569.154930000001</v>
      </c>
      <c r="F1133" s="475">
        <v>23569.154930000001</v>
      </c>
      <c r="G1133" s="475">
        <v>11770</v>
      </c>
      <c r="H1133" s="475">
        <v>11059.28341</v>
      </c>
      <c r="I1133" s="471">
        <v>46.92</v>
      </c>
      <c r="J1133" s="471"/>
    </row>
    <row r="1134" spans="1:10" ht="38.25" outlineLevel="3">
      <c r="A1134" s="467" t="s">
        <v>1823</v>
      </c>
      <c r="B1134" s="468" t="s">
        <v>1833</v>
      </c>
      <c r="C1134" s="469"/>
      <c r="D1134" s="468"/>
      <c r="E1134" s="470">
        <v>18944.65352</v>
      </c>
      <c r="F1134" s="470">
        <v>18944.65352</v>
      </c>
      <c r="G1134" s="470">
        <v>11009.720520000001</v>
      </c>
      <c r="H1134" s="470">
        <v>11009.720520000001</v>
      </c>
      <c r="I1134" s="471">
        <v>58.12</v>
      </c>
      <c r="J1134" s="471"/>
    </row>
    <row r="1135" spans="1:10" ht="38.25" outlineLevel="4">
      <c r="A1135" s="472" t="s">
        <v>1823</v>
      </c>
      <c r="B1135" s="473" t="s">
        <v>1833</v>
      </c>
      <c r="C1135" s="474" t="s">
        <v>1817</v>
      </c>
      <c r="D1135" s="473" t="s">
        <v>1818</v>
      </c>
      <c r="E1135" s="475">
        <v>18944.65352</v>
      </c>
      <c r="F1135" s="475">
        <v>18944.65352</v>
      </c>
      <c r="G1135" s="475">
        <v>11009.720520000001</v>
      </c>
      <c r="H1135" s="475">
        <v>11009.720520000001</v>
      </c>
      <c r="I1135" s="471">
        <v>58.12</v>
      </c>
      <c r="J1135" s="471"/>
    </row>
    <row r="1136" spans="1:10" ht="25.5" outlineLevel="2">
      <c r="A1136" s="462" t="s">
        <v>1834</v>
      </c>
      <c r="B1136" s="463" t="s">
        <v>1835</v>
      </c>
      <c r="C1136" s="464"/>
      <c r="D1136" s="463"/>
      <c r="E1136" s="465">
        <v>30700</v>
      </c>
      <c r="F1136" s="465">
        <v>23900</v>
      </c>
      <c r="G1136" s="465">
        <v>7343.38</v>
      </c>
      <c r="H1136" s="465">
        <v>6219.3895199999997</v>
      </c>
      <c r="I1136" s="466">
        <v>20.260000000000002</v>
      </c>
      <c r="J1136" s="466"/>
    </row>
    <row r="1137" spans="1:10" ht="25.5" outlineLevel="3">
      <c r="A1137" s="467" t="s">
        <v>1836</v>
      </c>
      <c r="B1137" s="468" t="s">
        <v>1837</v>
      </c>
      <c r="C1137" s="469"/>
      <c r="D1137" s="468"/>
      <c r="E1137" s="470">
        <v>17700</v>
      </c>
      <c r="F1137" s="470">
        <v>10900</v>
      </c>
      <c r="G1137" s="470">
        <v>7343.38</v>
      </c>
      <c r="H1137" s="470">
        <v>6219.3895199999997</v>
      </c>
      <c r="I1137" s="471">
        <v>35.14</v>
      </c>
      <c r="J1137" s="471"/>
    </row>
    <row r="1138" spans="1:10" ht="38.25" outlineLevel="4">
      <c r="A1138" s="472" t="s">
        <v>1836</v>
      </c>
      <c r="B1138" s="473" t="s">
        <v>1837</v>
      </c>
      <c r="C1138" s="474" t="s">
        <v>1817</v>
      </c>
      <c r="D1138" s="473" t="s">
        <v>1818</v>
      </c>
      <c r="E1138" s="475">
        <v>17700</v>
      </c>
      <c r="F1138" s="475">
        <v>10900</v>
      </c>
      <c r="G1138" s="475">
        <v>7343.38</v>
      </c>
      <c r="H1138" s="475">
        <v>6219.3895199999997</v>
      </c>
      <c r="I1138" s="471">
        <v>35.14</v>
      </c>
      <c r="J1138" s="471"/>
    </row>
    <row r="1139" spans="1:10" ht="51" outlineLevel="3">
      <c r="A1139" s="467" t="s">
        <v>1831</v>
      </c>
      <c r="B1139" s="468" t="s">
        <v>1838</v>
      </c>
      <c r="C1139" s="469"/>
      <c r="D1139" s="468"/>
      <c r="E1139" s="470">
        <v>13000</v>
      </c>
      <c r="F1139" s="470">
        <v>13000</v>
      </c>
      <c r="G1139" s="470">
        <v>0</v>
      </c>
      <c r="H1139" s="470">
        <v>0</v>
      </c>
      <c r="I1139" s="471">
        <v>0</v>
      </c>
      <c r="J1139" s="471"/>
    </row>
    <row r="1140" spans="1:10" ht="51" outlineLevel="4">
      <c r="A1140" s="472" t="s">
        <v>1831</v>
      </c>
      <c r="B1140" s="473" t="s">
        <v>1838</v>
      </c>
      <c r="C1140" s="474" t="s">
        <v>1817</v>
      </c>
      <c r="D1140" s="473" t="s">
        <v>1818</v>
      </c>
      <c r="E1140" s="475">
        <v>13000</v>
      </c>
      <c r="F1140" s="475">
        <v>13000</v>
      </c>
      <c r="G1140" s="475">
        <v>0</v>
      </c>
      <c r="H1140" s="475">
        <v>0</v>
      </c>
      <c r="I1140" s="471">
        <v>0</v>
      </c>
      <c r="J1140" s="471"/>
    </row>
    <row r="1141" spans="1:10" ht="38.25" outlineLevel="2">
      <c r="A1141" s="462" t="s">
        <v>1839</v>
      </c>
      <c r="B1141" s="463" t="s">
        <v>1840</v>
      </c>
      <c r="C1141" s="464"/>
      <c r="D1141" s="463"/>
      <c r="E1141" s="465">
        <v>7994.6808600000004</v>
      </c>
      <c r="F1141" s="465">
        <v>7994.6808600000004</v>
      </c>
      <c r="G1141" s="465">
        <v>4994.6808600000004</v>
      </c>
      <c r="H1141" s="465">
        <v>4994.6808600000004</v>
      </c>
      <c r="I1141" s="466">
        <v>62.48</v>
      </c>
      <c r="J1141" s="466"/>
    </row>
    <row r="1142" spans="1:10" ht="25.5" outlineLevel="3">
      <c r="A1142" s="467" t="s">
        <v>1841</v>
      </c>
      <c r="B1142" s="468" t="s">
        <v>1842</v>
      </c>
      <c r="C1142" s="469"/>
      <c r="D1142" s="468"/>
      <c r="E1142" s="470">
        <v>6496.2766000000001</v>
      </c>
      <c r="F1142" s="470">
        <v>6496.2766000000001</v>
      </c>
      <c r="G1142" s="470">
        <v>3496.2766000000001</v>
      </c>
      <c r="H1142" s="470">
        <v>3496.2766000000001</v>
      </c>
      <c r="I1142" s="471">
        <v>53.82</v>
      </c>
      <c r="J1142" s="471"/>
    </row>
    <row r="1143" spans="1:10" ht="38.25" outlineLevel="4">
      <c r="A1143" s="472" t="s">
        <v>1841</v>
      </c>
      <c r="B1143" s="473" t="s">
        <v>1842</v>
      </c>
      <c r="C1143" s="474" t="s">
        <v>1817</v>
      </c>
      <c r="D1143" s="473" t="s">
        <v>1818</v>
      </c>
      <c r="E1143" s="475">
        <v>6496.2766000000001</v>
      </c>
      <c r="F1143" s="475">
        <v>6496.2766000000001</v>
      </c>
      <c r="G1143" s="475">
        <v>3496.2766000000001</v>
      </c>
      <c r="H1143" s="475">
        <v>3496.2766000000001</v>
      </c>
      <c r="I1143" s="471">
        <v>53.82</v>
      </c>
      <c r="J1143" s="476" t="s">
        <v>10</v>
      </c>
    </row>
    <row r="1144" spans="1:10" ht="51" outlineLevel="3">
      <c r="A1144" s="467" t="s">
        <v>1843</v>
      </c>
      <c r="B1144" s="468" t="s">
        <v>1844</v>
      </c>
      <c r="C1144" s="469"/>
      <c r="D1144" s="468"/>
      <c r="E1144" s="470">
        <v>1498.40426</v>
      </c>
      <c r="F1144" s="470">
        <v>1498.40426</v>
      </c>
      <c r="G1144" s="470">
        <v>1498.40426</v>
      </c>
      <c r="H1144" s="470">
        <v>1498.40426</v>
      </c>
      <c r="I1144" s="471">
        <v>100</v>
      </c>
      <c r="J1144" s="471"/>
    </row>
    <row r="1145" spans="1:10" ht="51" outlineLevel="4">
      <c r="A1145" s="472" t="s">
        <v>1843</v>
      </c>
      <c r="B1145" s="473" t="s">
        <v>1844</v>
      </c>
      <c r="C1145" s="474" t="s">
        <v>1817</v>
      </c>
      <c r="D1145" s="473" t="s">
        <v>1818</v>
      </c>
      <c r="E1145" s="475">
        <v>1498.40426</v>
      </c>
      <c r="F1145" s="475">
        <v>1498.40426</v>
      </c>
      <c r="G1145" s="475">
        <v>1498.40426</v>
      </c>
      <c r="H1145" s="475">
        <v>1498.40426</v>
      </c>
      <c r="I1145" s="471">
        <v>100</v>
      </c>
      <c r="J1145" s="471"/>
    </row>
    <row r="1146" spans="1:10" ht="38.25" outlineLevel="1">
      <c r="A1146" s="457" t="s">
        <v>1845</v>
      </c>
      <c r="B1146" s="458" t="s">
        <v>1846</v>
      </c>
      <c r="C1146" s="459"/>
      <c r="D1146" s="458"/>
      <c r="E1146" s="460">
        <v>46618.573239999998</v>
      </c>
      <c r="F1146" s="460">
        <v>28042.473239999999</v>
      </c>
      <c r="G1146" s="460">
        <v>2.33928</v>
      </c>
      <c r="H1146" s="460">
        <v>0</v>
      </c>
      <c r="I1146" s="461">
        <v>0</v>
      </c>
      <c r="J1146" s="461"/>
    </row>
    <row r="1147" spans="1:10" ht="38.25" outlineLevel="2">
      <c r="A1147" s="462" t="s">
        <v>1847</v>
      </c>
      <c r="B1147" s="463" t="s">
        <v>1848</v>
      </c>
      <c r="C1147" s="464"/>
      <c r="D1147" s="463"/>
      <c r="E1147" s="465">
        <v>1878.8732399999999</v>
      </c>
      <c r="F1147" s="465">
        <v>1878.8732399999999</v>
      </c>
      <c r="G1147" s="465">
        <v>0</v>
      </c>
      <c r="H1147" s="465">
        <v>0</v>
      </c>
      <c r="I1147" s="466">
        <v>0</v>
      </c>
      <c r="J1147" s="466"/>
    </row>
    <row r="1148" spans="1:10" ht="25.5" outlineLevel="3">
      <c r="A1148" s="467" t="s">
        <v>1849</v>
      </c>
      <c r="B1148" s="468" t="s">
        <v>1850</v>
      </c>
      <c r="C1148" s="469"/>
      <c r="D1148" s="468"/>
      <c r="E1148" s="470">
        <v>1878.8732399999999</v>
      </c>
      <c r="F1148" s="470">
        <v>1878.8732399999999</v>
      </c>
      <c r="G1148" s="470">
        <v>0</v>
      </c>
      <c r="H1148" s="470">
        <v>0</v>
      </c>
      <c r="I1148" s="471">
        <v>0</v>
      </c>
      <c r="J1148" s="471"/>
    </row>
    <row r="1149" spans="1:10" ht="38.25" outlineLevel="4">
      <c r="A1149" s="472" t="s">
        <v>1849</v>
      </c>
      <c r="B1149" s="473" t="s">
        <v>1850</v>
      </c>
      <c r="C1149" s="474" t="s">
        <v>1817</v>
      </c>
      <c r="D1149" s="473" t="s">
        <v>1818</v>
      </c>
      <c r="E1149" s="475">
        <v>1878.8732399999999</v>
      </c>
      <c r="F1149" s="475">
        <v>1878.8732399999999</v>
      </c>
      <c r="G1149" s="475">
        <v>0</v>
      </c>
      <c r="H1149" s="475">
        <v>0</v>
      </c>
      <c r="I1149" s="471">
        <v>0</v>
      </c>
      <c r="J1149" s="471"/>
    </row>
    <row r="1150" spans="1:10" ht="51" outlineLevel="2">
      <c r="A1150" s="462" t="s">
        <v>1851</v>
      </c>
      <c r="B1150" s="463" t="s">
        <v>1852</v>
      </c>
      <c r="C1150" s="464"/>
      <c r="D1150" s="463"/>
      <c r="E1150" s="465">
        <v>44739.7</v>
      </c>
      <c r="F1150" s="465">
        <v>26163.599999999999</v>
      </c>
      <c r="G1150" s="465">
        <v>2.33928</v>
      </c>
      <c r="H1150" s="465">
        <v>0</v>
      </c>
      <c r="I1150" s="466">
        <v>0</v>
      </c>
      <c r="J1150" s="466"/>
    </row>
    <row r="1151" spans="1:10" ht="25.5" outlineLevel="3">
      <c r="A1151" s="467" t="s">
        <v>1849</v>
      </c>
      <c r="B1151" s="468" t="s">
        <v>1853</v>
      </c>
      <c r="C1151" s="469"/>
      <c r="D1151" s="468"/>
      <c r="E1151" s="470">
        <v>44739.7</v>
      </c>
      <c r="F1151" s="470">
        <v>26163.599999999999</v>
      </c>
      <c r="G1151" s="470">
        <v>2.33928</v>
      </c>
      <c r="H1151" s="470">
        <v>0</v>
      </c>
      <c r="I1151" s="471">
        <v>0</v>
      </c>
      <c r="J1151" s="471"/>
    </row>
    <row r="1152" spans="1:10" ht="25.5" outlineLevel="4">
      <c r="A1152" s="472" t="s">
        <v>1849</v>
      </c>
      <c r="B1152" s="473" t="s">
        <v>1853</v>
      </c>
      <c r="C1152" s="474" t="s">
        <v>818</v>
      </c>
      <c r="D1152" s="473" t="s">
        <v>819</v>
      </c>
      <c r="E1152" s="475">
        <v>44739.7</v>
      </c>
      <c r="F1152" s="475">
        <v>26163.599999999999</v>
      </c>
      <c r="G1152" s="475">
        <v>2.33928</v>
      </c>
      <c r="H1152" s="475">
        <v>0</v>
      </c>
      <c r="I1152" s="471">
        <v>0</v>
      </c>
      <c r="J1152" s="471"/>
    </row>
    <row r="1153" spans="1:10" ht="38.25" outlineLevel="1">
      <c r="A1153" s="457" t="s">
        <v>1854</v>
      </c>
      <c r="B1153" s="458" t="s">
        <v>1855</v>
      </c>
      <c r="C1153" s="459"/>
      <c r="D1153" s="458"/>
      <c r="E1153" s="460">
        <v>174498.86984</v>
      </c>
      <c r="F1153" s="460">
        <v>174498.86984</v>
      </c>
      <c r="G1153" s="460">
        <v>74183.48702</v>
      </c>
      <c r="H1153" s="460">
        <v>74027.176600000006</v>
      </c>
      <c r="I1153" s="461">
        <v>42.42</v>
      </c>
      <c r="J1153" s="461"/>
    </row>
    <row r="1154" spans="1:10" ht="76.5" outlineLevel="2">
      <c r="A1154" s="462" t="s">
        <v>1856</v>
      </c>
      <c r="B1154" s="463" t="s">
        <v>1857</v>
      </c>
      <c r="C1154" s="464"/>
      <c r="D1154" s="463"/>
      <c r="E1154" s="465">
        <v>116889.16134000001</v>
      </c>
      <c r="F1154" s="465">
        <v>116889.16134000001</v>
      </c>
      <c r="G1154" s="465">
        <v>57491.5069</v>
      </c>
      <c r="H1154" s="465">
        <v>57491.5069</v>
      </c>
      <c r="I1154" s="466">
        <v>49.18</v>
      </c>
      <c r="J1154" s="466"/>
    </row>
    <row r="1155" spans="1:10" ht="76.5" outlineLevel="3">
      <c r="A1155" s="467" t="s">
        <v>717</v>
      </c>
      <c r="B1155" s="468" t="s">
        <v>1858</v>
      </c>
      <c r="C1155" s="469"/>
      <c r="D1155" s="468"/>
      <c r="E1155" s="470">
        <v>115280.4742</v>
      </c>
      <c r="F1155" s="470">
        <v>115280.4742</v>
      </c>
      <c r="G1155" s="470">
        <v>57046.133779999996</v>
      </c>
      <c r="H1155" s="470">
        <v>57046.133779999996</v>
      </c>
      <c r="I1155" s="471">
        <v>49.48</v>
      </c>
      <c r="J1155" s="471"/>
    </row>
    <row r="1156" spans="1:10" ht="76.5" outlineLevel="4">
      <c r="A1156" s="472" t="s">
        <v>717</v>
      </c>
      <c r="B1156" s="473" t="s">
        <v>1858</v>
      </c>
      <c r="C1156" s="474" t="s">
        <v>1859</v>
      </c>
      <c r="D1156" s="473" t="s">
        <v>1860</v>
      </c>
      <c r="E1156" s="475">
        <v>115280.4742</v>
      </c>
      <c r="F1156" s="475">
        <v>115280.4742</v>
      </c>
      <c r="G1156" s="475">
        <v>57046.133779999996</v>
      </c>
      <c r="H1156" s="475">
        <v>57046.133779999996</v>
      </c>
      <c r="I1156" s="471">
        <v>49.48</v>
      </c>
      <c r="J1156" s="471"/>
    </row>
    <row r="1157" spans="1:10" ht="63.75" outlineLevel="3">
      <c r="A1157" s="467" t="s">
        <v>62</v>
      </c>
      <c r="B1157" s="468" t="s">
        <v>1861</v>
      </c>
      <c r="C1157" s="469"/>
      <c r="D1157" s="468"/>
      <c r="E1157" s="470">
        <v>1216.4000000000001</v>
      </c>
      <c r="F1157" s="470">
        <v>1216.4000000000001</v>
      </c>
      <c r="G1157" s="470">
        <v>309.16440999999998</v>
      </c>
      <c r="H1157" s="470">
        <v>309.16440999999998</v>
      </c>
      <c r="I1157" s="471">
        <v>25.42</v>
      </c>
      <c r="J1157" s="471"/>
    </row>
    <row r="1158" spans="1:10" ht="63.75" outlineLevel="4">
      <c r="A1158" s="472" t="s">
        <v>62</v>
      </c>
      <c r="B1158" s="473" t="s">
        <v>1861</v>
      </c>
      <c r="C1158" s="474" t="s">
        <v>1859</v>
      </c>
      <c r="D1158" s="473" t="s">
        <v>1860</v>
      </c>
      <c r="E1158" s="475">
        <v>1216.4000000000001</v>
      </c>
      <c r="F1158" s="475">
        <v>1216.4000000000001</v>
      </c>
      <c r="G1158" s="475">
        <v>309.16440999999998</v>
      </c>
      <c r="H1158" s="475">
        <v>309.16440999999998</v>
      </c>
      <c r="I1158" s="471">
        <v>25.42</v>
      </c>
      <c r="J1158" s="471"/>
    </row>
    <row r="1159" spans="1:10" ht="140.25" outlineLevel="3">
      <c r="A1159" s="467" t="s">
        <v>857</v>
      </c>
      <c r="B1159" s="468" t="s">
        <v>1862</v>
      </c>
      <c r="C1159" s="469"/>
      <c r="D1159" s="468"/>
      <c r="E1159" s="470">
        <v>392.28714000000002</v>
      </c>
      <c r="F1159" s="470">
        <v>392.28714000000002</v>
      </c>
      <c r="G1159" s="470">
        <v>136.20871</v>
      </c>
      <c r="H1159" s="470">
        <v>136.20871</v>
      </c>
      <c r="I1159" s="471">
        <v>34.72</v>
      </c>
      <c r="J1159" s="471"/>
    </row>
    <row r="1160" spans="1:10" ht="140.25" outlineLevel="4">
      <c r="A1160" s="472" t="s">
        <v>857</v>
      </c>
      <c r="B1160" s="473" t="s">
        <v>1862</v>
      </c>
      <c r="C1160" s="474" t="s">
        <v>1859</v>
      </c>
      <c r="D1160" s="473" t="s">
        <v>1860</v>
      </c>
      <c r="E1160" s="475">
        <v>392.28714000000002</v>
      </c>
      <c r="F1160" s="475">
        <v>392.28714000000002</v>
      </c>
      <c r="G1160" s="475">
        <v>136.20871</v>
      </c>
      <c r="H1160" s="475">
        <v>136.20871</v>
      </c>
      <c r="I1160" s="471">
        <v>34.72</v>
      </c>
      <c r="J1160" s="471"/>
    </row>
    <row r="1161" spans="1:10" ht="51" outlineLevel="2">
      <c r="A1161" s="462" t="s">
        <v>1863</v>
      </c>
      <c r="B1161" s="463" t="s">
        <v>1864</v>
      </c>
      <c r="C1161" s="464"/>
      <c r="D1161" s="463"/>
      <c r="E1161" s="465">
        <v>1797.25</v>
      </c>
      <c r="F1161" s="465">
        <v>1797.25</v>
      </c>
      <c r="G1161" s="465">
        <v>1763.626</v>
      </c>
      <c r="H1161" s="465">
        <v>1763.626</v>
      </c>
      <c r="I1161" s="466">
        <v>98.13</v>
      </c>
      <c r="J1161" s="466"/>
    </row>
    <row r="1162" spans="1:10" ht="76.5" outlineLevel="3">
      <c r="A1162" s="467" t="s">
        <v>717</v>
      </c>
      <c r="B1162" s="468" t="s">
        <v>1865</v>
      </c>
      <c r="C1162" s="469"/>
      <c r="D1162" s="468"/>
      <c r="E1162" s="470">
        <v>1797.25</v>
      </c>
      <c r="F1162" s="470">
        <v>1797.25</v>
      </c>
      <c r="G1162" s="470">
        <v>1763.626</v>
      </c>
      <c r="H1162" s="470">
        <v>1763.626</v>
      </c>
      <c r="I1162" s="471">
        <v>98.13</v>
      </c>
      <c r="J1162" s="471"/>
    </row>
    <row r="1163" spans="1:10" ht="76.5" outlineLevel="4">
      <c r="A1163" s="472" t="s">
        <v>717</v>
      </c>
      <c r="B1163" s="473" t="s">
        <v>1865</v>
      </c>
      <c r="C1163" s="474" t="s">
        <v>1859</v>
      </c>
      <c r="D1163" s="473" t="s">
        <v>1860</v>
      </c>
      <c r="E1163" s="475">
        <v>1797.25</v>
      </c>
      <c r="F1163" s="475">
        <v>1797.25</v>
      </c>
      <c r="G1163" s="475">
        <v>1763.626</v>
      </c>
      <c r="H1163" s="475">
        <v>1763.626</v>
      </c>
      <c r="I1163" s="471">
        <v>98.13</v>
      </c>
      <c r="J1163" s="471"/>
    </row>
    <row r="1164" spans="1:10" ht="25.5" outlineLevel="2">
      <c r="A1164" s="462" t="s">
        <v>1866</v>
      </c>
      <c r="B1164" s="463" t="s">
        <v>1867</v>
      </c>
      <c r="C1164" s="464"/>
      <c r="D1164" s="463"/>
      <c r="E1164" s="465">
        <v>55812.458500000001</v>
      </c>
      <c r="F1164" s="465">
        <v>55812.458500000001</v>
      </c>
      <c r="G1164" s="465">
        <v>14928.35412</v>
      </c>
      <c r="H1164" s="465">
        <v>14772.0437</v>
      </c>
      <c r="I1164" s="466">
        <v>26.47</v>
      </c>
      <c r="J1164" s="466"/>
    </row>
    <row r="1165" spans="1:10" ht="51" outlineLevel="3">
      <c r="A1165" s="467" t="s">
        <v>1868</v>
      </c>
      <c r="B1165" s="468" t="s">
        <v>1869</v>
      </c>
      <c r="C1165" s="469"/>
      <c r="D1165" s="468"/>
      <c r="E1165" s="470">
        <v>55812.458500000001</v>
      </c>
      <c r="F1165" s="470">
        <v>55812.458500000001</v>
      </c>
      <c r="G1165" s="470">
        <v>14928.35412</v>
      </c>
      <c r="H1165" s="470">
        <v>14772.0437</v>
      </c>
      <c r="I1165" s="471">
        <v>26.47</v>
      </c>
      <c r="J1165" s="471"/>
    </row>
    <row r="1166" spans="1:10" ht="51" outlineLevel="4">
      <c r="A1166" s="472" t="s">
        <v>1868</v>
      </c>
      <c r="B1166" s="473" t="s">
        <v>1869</v>
      </c>
      <c r="C1166" s="474" t="s">
        <v>1859</v>
      </c>
      <c r="D1166" s="473" t="s">
        <v>1860</v>
      </c>
      <c r="E1166" s="475">
        <v>55812.458500000001</v>
      </c>
      <c r="F1166" s="475">
        <v>55812.458500000001</v>
      </c>
      <c r="G1166" s="475">
        <v>14928.35412</v>
      </c>
      <c r="H1166" s="475">
        <v>14772.0437</v>
      </c>
      <c r="I1166" s="471">
        <v>26.47</v>
      </c>
      <c r="J1166" s="471"/>
    </row>
    <row r="1167" spans="1:10" ht="25.5" outlineLevel="1">
      <c r="A1167" s="457" t="s">
        <v>1870</v>
      </c>
      <c r="B1167" s="458" t="s">
        <v>1871</v>
      </c>
      <c r="C1167" s="459"/>
      <c r="D1167" s="458"/>
      <c r="E1167" s="460">
        <v>244138.12113000001</v>
      </c>
      <c r="F1167" s="460">
        <v>238538.12113000001</v>
      </c>
      <c r="G1167" s="460">
        <v>30871</v>
      </c>
      <c r="H1167" s="460">
        <v>29784.46816</v>
      </c>
      <c r="I1167" s="461">
        <v>12.2</v>
      </c>
      <c r="J1167" s="461"/>
    </row>
    <row r="1168" spans="1:10" ht="38.25" outlineLevel="2">
      <c r="A1168" s="462" t="s">
        <v>1872</v>
      </c>
      <c r="B1168" s="463" t="s">
        <v>1873</v>
      </c>
      <c r="C1168" s="464"/>
      <c r="D1168" s="463"/>
      <c r="E1168" s="465">
        <v>773.4</v>
      </c>
      <c r="F1168" s="465">
        <v>773.4</v>
      </c>
      <c r="G1168" s="465">
        <v>0</v>
      </c>
      <c r="H1168" s="465">
        <v>0</v>
      </c>
      <c r="I1168" s="466">
        <v>0</v>
      </c>
      <c r="J1168" s="466"/>
    </row>
    <row r="1169" spans="1:10" ht="114.75" outlineLevel="3">
      <c r="A1169" s="467" t="s">
        <v>1874</v>
      </c>
      <c r="B1169" s="468" t="s">
        <v>1875</v>
      </c>
      <c r="C1169" s="469"/>
      <c r="D1169" s="468"/>
      <c r="E1169" s="470">
        <v>773.4</v>
      </c>
      <c r="F1169" s="470">
        <v>773.4</v>
      </c>
      <c r="G1169" s="470">
        <v>0</v>
      </c>
      <c r="H1169" s="470">
        <v>0</v>
      </c>
      <c r="I1169" s="471">
        <v>0</v>
      </c>
      <c r="J1169" s="471"/>
    </row>
    <row r="1170" spans="1:10" ht="114.75" outlineLevel="4">
      <c r="A1170" s="472" t="s">
        <v>1874</v>
      </c>
      <c r="B1170" s="473" t="s">
        <v>1875</v>
      </c>
      <c r="C1170" s="474" t="s">
        <v>1817</v>
      </c>
      <c r="D1170" s="473" t="s">
        <v>1818</v>
      </c>
      <c r="E1170" s="475">
        <v>773.4</v>
      </c>
      <c r="F1170" s="475">
        <v>773.4</v>
      </c>
      <c r="G1170" s="475">
        <v>0</v>
      </c>
      <c r="H1170" s="475">
        <v>0</v>
      </c>
      <c r="I1170" s="471">
        <v>0</v>
      </c>
      <c r="J1170" s="476" t="s">
        <v>10</v>
      </c>
    </row>
    <row r="1171" spans="1:10" ht="63.75" outlineLevel="2">
      <c r="A1171" s="462" t="s">
        <v>1876</v>
      </c>
      <c r="B1171" s="463" t="s">
        <v>1877</v>
      </c>
      <c r="C1171" s="464"/>
      <c r="D1171" s="463"/>
      <c r="E1171" s="465">
        <v>10500</v>
      </c>
      <c r="F1171" s="465">
        <v>4900</v>
      </c>
      <c r="G1171" s="465">
        <v>1916</v>
      </c>
      <c r="H1171" s="465">
        <v>1793.9684299999999</v>
      </c>
      <c r="I1171" s="466">
        <v>17.09</v>
      </c>
      <c r="J1171" s="466"/>
    </row>
    <row r="1172" spans="1:10" ht="89.25" outlineLevel="3">
      <c r="A1172" s="467" t="s">
        <v>1878</v>
      </c>
      <c r="B1172" s="468" t="s">
        <v>1879</v>
      </c>
      <c r="C1172" s="469"/>
      <c r="D1172" s="468"/>
      <c r="E1172" s="470">
        <v>10500</v>
      </c>
      <c r="F1172" s="470">
        <v>4900</v>
      </c>
      <c r="G1172" s="470">
        <v>1916</v>
      </c>
      <c r="H1172" s="470">
        <v>1793.9684299999999</v>
      </c>
      <c r="I1172" s="471">
        <v>17.09</v>
      </c>
      <c r="J1172" s="471"/>
    </row>
    <row r="1173" spans="1:10" ht="89.25" outlineLevel="4">
      <c r="A1173" s="472" t="s">
        <v>1878</v>
      </c>
      <c r="B1173" s="473" t="s">
        <v>1879</v>
      </c>
      <c r="C1173" s="474" t="s">
        <v>1817</v>
      </c>
      <c r="D1173" s="473" t="s">
        <v>1818</v>
      </c>
      <c r="E1173" s="475">
        <v>10500</v>
      </c>
      <c r="F1173" s="475">
        <v>4900</v>
      </c>
      <c r="G1173" s="475">
        <v>1916</v>
      </c>
      <c r="H1173" s="475">
        <v>1793.9684299999999</v>
      </c>
      <c r="I1173" s="471">
        <v>17.09</v>
      </c>
      <c r="J1173" s="471"/>
    </row>
    <row r="1174" spans="1:10" ht="38.25" outlineLevel="2">
      <c r="A1174" s="462" t="s">
        <v>1880</v>
      </c>
      <c r="B1174" s="463" t="s">
        <v>1881</v>
      </c>
      <c r="C1174" s="464"/>
      <c r="D1174" s="463"/>
      <c r="E1174" s="465">
        <v>232864.72112999999</v>
      </c>
      <c r="F1174" s="465">
        <v>232864.72112999999</v>
      </c>
      <c r="G1174" s="465">
        <v>28955</v>
      </c>
      <c r="H1174" s="465">
        <v>27990.49973</v>
      </c>
      <c r="I1174" s="466">
        <v>12.02</v>
      </c>
      <c r="J1174" s="466"/>
    </row>
    <row r="1175" spans="1:10" ht="38.25" outlineLevel="3">
      <c r="A1175" s="467" t="s">
        <v>1823</v>
      </c>
      <c r="B1175" s="468" t="s">
        <v>1882</v>
      </c>
      <c r="C1175" s="469"/>
      <c r="D1175" s="468"/>
      <c r="E1175" s="470">
        <v>37343.521130000001</v>
      </c>
      <c r="F1175" s="470">
        <v>37343.521130000001</v>
      </c>
      <c r="G1175" s="470">
        <v>0</v>
      </c>
      <c r="H1175" s="470">
        <v>0</v>
      </c>
      <c r="I1175" s="471">
        <v>0</v>
      </c>
      <c r="J1175" s="471"/>
    </row>
    <row r="1176" spans="1:10" ht="38.25" outlineLevel="4">
      <c r="A1176" s="472" t="s">
        <v>1823</v>
      </c>
      <c r="B1176" s="473" t="s">
        <v>1882</v>
      </c>
      <c r="C1176" s="474" t="s">
        <v>1817</v>
      </c>
      <c r="D1176" s="473" t="s">
        <v>1818</v>
      </c>
      <c r="E1176" s="475">
        <v>37343.521130000001</v>
      </c>
      <c r="F1176" s="475">
        <v>37343.521130000001</v>
      </c>
      <c r="G1176" s="475">
        <v>0</v>
      </c>
      <c r="H1176" s="475">
        <v>0</v>
      </c>
      <c r="I1176" s="471">
        <v>0</v>
      </c>
      <c r="J1176" s="471"/>
    </row>
    <row r="1177" spans="1:10" ht="102" outlineLevel="3">
      <c r="A1177" s="467" t="s">
        <v>1883</v>
      </c>
      <c r="B1177" s="468" t="s">
        <v>1884</v>
      </c>
      <c r="C1177" s="469"/>
      <c r="D1177" s="468"/>
      <c r="E1177" s="470">
        <v>195521.2</v>
      </c>
      <c r="F1177" s="470">
        <v>195521.2</v>
      </c>
      <c r="G1177" s="470">
        <v>28955</v>
      </c>
      <c r="H1177" s="470">
        <v>27990.49973</v>
      </c>
      <c r="I1177" s="471">
        <v>14.32</v>
      </c>
      <c r="J1177" s="471"/>
    </row>
    <row r="1178" spans="1:10" ht="102" outlineLevel="4">
      <c r="A1178" s="472" t="s">
        <v>1883</v>
      </c>
      <c r="B1178" s="473" t="s">
        <v>1884</v>
      </c>
      <c r="C1178" s="474" t="s">
        <v>1817</v>
      </c>
      <c r="D1178" s="473" t="s">
        <v>1818</v>
      </c>
      <c r="E1178" s="475">
        <v>195521.2</v>
      </c>
      <c r="F1178" s="475">
        <v>195521.2</v>
      </c>
      <c r="G1178" s="475">
        <v>28955</v>
      </c>
      <c r="H1178" s="475">
        <v>27990.49973</v>
      </c>
      <c r="I1178" s="471">
        <v>14.32</v>
      </c>
      <c r="J1178" s="471"/>
    </row>
    <row r="1179" spans="1:10" ht="89.25" outlineLevel="1">
      <c r="A1179" s="457" t="s">
        <v>1885</v>
      </c>
      <c r="B1179" s="458" t="s">
        <v>1886</v>
      </c>
      <c r="C1179" s="459"/>
      <c r="D1179" s="458"/>
      <c r="E1179" s="460">
        <v>33752.618210000001</v>
      </c>
      <c r="F1179" s="460">
        <v>33752.618210000001</v>
      </c>
      <c r="G1179" s="460">
        <v>18460.3174</v>
      </c>
      <c r="H1179" s="460">
        <v>16967.749629999998</v>
      </c>
      <c r="I1179" s="461">
        <v>50.27</v>
      </c>
      <c r="J1179" s="461"/>
    </row>
    <row r="1180" spans="1:10" ht="51" outlineLevel="2">
      <c r="A1180" s="462" t="s">
        <v>1887</v>
      </c>
      <c r="B1180" s="463" t="s">
        <v>1888</v>
      </c>
      <c r="C1180" s="464"/>
      <c r="D1180" s="463"/>
      <c r="E1180" s="465">
        <v>33752.618210000001</v>
      </c>
      <c r="F1180" s="465">
        <v>33752.618210000001</v>
      </c>
      <c r="G1180" s="465">
        <v>18460.3174</v>
      </c>
      <c r="H1180" s="465">
        <v>16967.749629999998</v>
      </c>
      <c r="I1180" s="466">
        <v>50.27</v>
      </c>
      <c r="J1180" s="466"/>
    </row>
    <row r="1181" spans="1:10" ht="25.5" outlineLevel="3">
      <c r="A1181" s="467" t="s">
        <v>888</v>
      </c>
      <c r="B1181" s="468" t="s">
        <v>1889</v>
      </c>
      <c r="C1181" s="469"/>
      <c r="D1181" s="468"/>
      <c r="E1181" s="470">
        <v>32455.9431</v>
      </c>
      <c r="F1181" s="470">
        <v>32455.9431</v>
      </c>
      <c r="G1181" s="470">
        <v>18203</v>
      </c>
      <c r="H1181" s="470">
        <v>16710.432229999999</v>
      </c>
      <c r="I1181" s="471">
        <v>51.49</v>
      </c>
      <c r="J1181" s="471"/>
    </row>
    <row r="1182" spans="1:10" ht="25.5" outlineLevel="4">
      <c r="A1182" s="472" t="s">
        <v>888</v>
      </c>
      <c r="B1182" s="473" t="s">
        <v>1889</v>
      </c>
      <c r="C1182" s="474" t="s">
        <v>1859</v>
      </c>
      <c r="D1182" s="473" t="s">
        <v>1860</v>
      </c>
      <c r="E1182" s="475">
        <v>32455.9431</v>
      </c>
      <c r="F1182" s="475">
        <v>32455.9431</v>
      </c>
      <c r="G1182" s="475">
        <v>18203</v>
      </c>
      <c r="H1182" s="475">
        <v>16710.432229999999</v>
      </c>
      <c r="I1182" s="471">
        <v>51.49</v>
      </c>
      <c r="J1182" s="471"/>
    </row>
    <row r="1183" spans="1:10" ht="38.25" outlineLevel="3">
      <c r="A1183" s="467" t="s">
        <v>869</v>
      </c>
      <c r="B1183" s="468" t="s">
        <v>1890</v>
      </c>
      <c r="C1183" s="469"/>
      <c r="D1183" s="468"/>
      <c r="E1183" s="470">
        <v>846.67511000000002</v>
      </c>
      <c r="F1183" s="470">
        <v>846.67511000000002</v>
      </c>
      <c r="G1183" s="470">
        <v>247.31739999999999</v>
      </c>
      <c r="H1183" s="470">
        <v>247.31739999999999</v>
      </c>
      <c r="I1183" s="471">
        <v>29.21</v>
      </c>
      <c r="J1183" s="471"/>
    </row>
    <row r="1184" spans="1:10" ht="38.25" outlineLevel="4">
      <c r="A1184" s="472" t="s">
        <v>869</v>
      </c>
      <c r="B1184" s="473" t="s">
        <v>1890</v>
      </c>
      <c r="C1184" s="474" t="s">
        <v>1859</v>
      </c>
      <c r="D1184" s="473" t="s">
        <v>1860</v>
      </c>
      <c r="E1184" s="475">
        <v>846.67511000000002</v>
      </c>
      <c r="F1184" s="475">
        <v>846.67511000000002</v>
      </c>
      <c r="G1184" s="475">
        <v>247.31739999999999</v>
      </c>
      <c r="H1184" s="475">
        <v>247.31739999999999</v>
      </c>
      <c r="I1184" s="471">
        <v>29.21</v>
      </c>
      <c r="J1184" s="471"/>
    </row>
    <row r="1185" spans="1:10" ht="63.75" outlineLevel="3">
      <c r="A1185" s="467" t="s">
        <v>62</v>
      </c>
      <c r="B1185" s="468" t="s">
        <v>1891</v>
      </c>
      <c r="C1185" s="469"/>
      <c r="D1185" s="468"/>
      <c r="E1185" s="470">
        <v>450</v>
      </c>
      <c r="F1185" s="470">
        <v>450</v>
      </c>
      <c r="G1185" s="470">
        <v>10</v>
      </c>
      <c r="H1185" s="470">
        <v>10</v>
      </c>
      <c r="I1185" s="471">
        <v>2.2200000000000002</v>
      </c>
      <c r="J1185" s="471"/>
    </row>
    <row r="1186" spans="1:10" ht="63.75" outlineLevel="4">
      <c r="A1186" s="472" t="s">
        <v>62</v>
      </c>
      <c r="B1186" s="473" t="s">
        <v>1891</v>
      </c>
      <c r="C1186" s="474" t="s">
        <v>1859</v>
      </c>
      <c r="D1186" s="473" t="s">
        <v>1860</v>
      </c>
      <c r="E1186" s="475">
        <v>450</v>
      </c>
      <c r="F1186" s="475">
        <v>450</v>
      </c>
      <c r="G1186" s="475">
        <v>10</v>
      </c>
      <c r="H1186" s="475">
        <v>10</v>
      </c>
      <c r="I1186" s="471">
        <v>2.2200000000000002</v>
      </c>
      <c r="J1186" s="471"/>
    </row>
    <row r="1187" spans="1:10" ht="30.75" collapsed="1" thickBot="1">
      <c r="A1187" s="452" t="s">
        <v>1892</v>
      </c>
      <c r="B1187" s="453" t="s">
        <v>1893</v>
      </c>
      <c r="C1187" s="454"/>
      <c r="D1187" s="453"/>
      <c r="E1187" s="455">
        <v>5529721.1326799998</v>
      </c>
      <c r="F1187" s="455">
        <v>5307281.3364599999</v>
      </c>
      <c r="G1187" s="455">
        <v>1456882.1791300001</v>
      </c>
      <c r="H1187" s="455">
        <v>1179943.5199899999</v>
      </c>
      <c r="I1187" s="456">
        <v>21.34</v>
      </c>
      <c r="J1187" s="456"/>
    </row>
    <row r="1188" spans="1:10" ht="25.5" outlineLevel="1">
      <c r="A1188" s="457" t="s">
        <v>1894</v>
      </c>
      <c r="B1188" s="458" t="s">
        <v>1895</v>
      </c>
      <c r="C1188" s="459"/>
      <c r="D1188" s="458"/>
      <c r="E1188" s="460">
        <v>4133643.3261000002</v>
      </c>
      <c r="F1188" s="460">
        <v>4111792.2362600002</v>
      </c>
      <c r="G1188" s="460">
        <v>763312.77904000005</v>
      </c>
      <c r="H1188" s="460">
        <v>593697.40515000001</v>
      </c>
      <c r="I1188" s="461">
        <v>14.36</v>
      </c>
      <c r="J1188" s="461"/>
    </row>
    <row r="1189" spans="1:10" ht="63.75" outlineLevel="2">
      <c r="A1189" s="462" t="s">
        <v>1896</v>
      </c>
      <c r="B1189" s="463" t="s">
        <v>1897</v>
      </c>
      <c r="C1189" s="464"/>
      <c r="D1189" s="463"/>
      <c r="E1189" s="465">
        <v>463953.07312999998</v>
      </c>
      <c r="F1189" s="465">
        <v>463720.58068999997</v>
      </c>
      <c r="G1189" s="465">
        <v>165.22399999999999</v>
      </c>
      <c r="H1189" s="465">
        <v>0</v>
      </c>
      <c r="I1189" s="466">
        <v>0</v>
      </c>
      <c r="J1189" s="466"/>
    </row>
    <row r="1190" spans="1:10" ht="25.5" outlineLevel="3">
      <c r="A1190" s="467" t="s">
        <v>1898</v>
      </c>
      <c r="B1190" s="468" t="s">
        <v>1899</v>
      </c>
      <c r="C1190" s="469"/>
      <c r="D1190" s="468"/>
      <c r="E1190" s="470">
        <v>363953.07312999998</v>
      </c>
      <c r="F1190" s="470">
        <v>363720.58068999997</v>
      </c>
      <c r="G1190" s="470">
        <v>165.22399999999999</v>
      </c>
      <c r="H1190" s="470">
        <v>0</v>
      </c>
      <c r="I1190" s="471">
        <v>0</v>
      </c>
      <c r="J1190" s="471"/>
    </row>
    <row r="1191" spans="1:10" ht="25.5" outlineLevel="4">
      <c r="A1191" s="472" t="s">
        <v>1898</v>
      </c>
      <c r="B1191" s="473" t="s">
        <v>1899</v>
      </c>
      <c r="C1191" s="474" t="s">
        <v>1583</v>
      </c>
      <c r="D1191" s="473" t="s">
        <v>1584</v>
      </c>
      <c r="E1191" s="475">
        <v>363953.07312999998</v>
      </c>
      <c r="F1191" s="475">
        <v>363720.58068999997</v>
      </c>
      <c r="G1191" s="475">
        <v>165.22399999999999</v>
      </c>
      <c r="H1191" s="475">
        <v>0</v>
      </c>
      <c r="I1191" s="471">
        <v>0</v>
      </c>
      <c r="J1191" s="471"/>
    </row>
    <row r="1192" spans="1:10" ht="25.5" outlineLevel="3">
      <c r="A1192" s="467" t="s">
        <v>1900</v>
      </c>
      <c r="B1192" s="468" t="s">
        <v>1901</v>
      </c>
      <c r="C1192" s="469"/>
      <c r="D1192" s="468"/>
      <c r="E1192" s="470">
        <v>100000</v>
      </c>
      <c r="F1192" s="470">
        <v>100000</v>
      </c>
      <c r="G1192" s="470">
        <v>0</v>
      </c>
      <c r="H1192" s="470">
        <v>0</v>
      </c>
      <c r="I1192" s="471">
        <v>0</v>
      </c>
      <c r="J1192" s="471"/>
    </row>
    <row r="1193" spans="1:10" ht="25.5" outlineLevel="4">
      <c r="A1193" s="472" t="s">
        <v>1900</v>
      </c>
      <c r="B1193" s="473" t="s">
        <v>1901</v>
      </c>
      <c r="C1193" s="474" t="s">
        <v>1583</v>
      </c>
      <c r="D1193" s="473" t="s">
        <v>1584</v>
      </c>
      <c r="E1193" s="475">
        <v>100000</v>
      </c>
      <c r="F1193" s="475">
        <v>100000</v>
      </c>
      <c r="G1193" s="475">
        <v>0</v>
      </c>
      <c r="H1193" s="475">
        <v>0</v>
      </c>
      <c r="I1193" s="471">
        <v>0</v>
      </c>
      <c r="J1193" s="476" t="s">
        <v>10</v>
      </c>
    </row>
    <row r="1194" spans="1:10" ht="63.75" outlineLevel="2">
      <c r="A1194" s="462" t="s">
        <v>1902</v>
      </c>
      <c r="B1194" s="463" t="s">
        <v>1903</v>
      </c>
      <c r="C1194" s="464"/>
      <c r="D1194" s="463"/>
      <c r="E1194" s="465">
        <v>1757491.43998</v>
      </c>
      <c r="F1194" s="465">
        <v>1739745.16625</v>
      </c>
      <c r="G1194" s="465">
        <v>566924.19432999997</v>
      </c>
      <c r="H1194" s="465">
        <v>416772.53934999998</v>
      </c>
      <c r="I1194" s="466">
        <v>23.71</v>
      </c>
      <c r="J1194" s="466"/>
    </row>
    <row r="1195" spans="1:10" ht="25.5" outlineLevel="3">
      <c r="A1195" s="467" t="s">
        <v>1898</v>
      </c>
      <c r="B1195" s="468" t="s">
        <v>1904</v>
      </c>
      <c r="C1195" s="469"/>
      <c r="D1195" s="468"/>
      <c r="E1195" s="470">
        <v>1757491.43998</v>
      </c>
      <c r="F1195" s="470">
        <v>1739745.16625</v>
      </c>
      <c r="G1195" s="470">
        <v>566924.19432999997</v>
      </c>
      <c r="H1195" s="470">
        <v>416772.53934999998</v>
      </c>
      <c r="I1195" s="471">
        <v>23.71</v>
      </c>
      <c r="J1195" s="471"/>
    </row>
    <row r="1196" spans="1:10" ht="25.5" outlineLevel="4">
      <c r="A1196" s="472" t="s">
        <v>1898</v>
      </c>
      <c r="B1196" s="473" t="s">
        <v>1904</v>
      </c>
      <c r="C1196" s="474" t="s">
        <v>1583</v>
      </c>
      <c r="D1196" s="473" t="s">
        <v>1584</v>
      </c>
      <c r="E1196" s="475">
        <v>1757491.43998</v>
      </c>
      <c r="F1196" s="475">
        <v>1739745.16625</v>
      </c>
      <c r="G1196" s="475">
        <v>566924.19432999997</v>
      </c>
      <c r="H1196" s="475">
        <v>416772.53934999998</v>
      </c>
      <c r="I1196" s="471">
        <v>23.71</v>
      </c>
      <c r="J1196" s="471"/>
    </row>
    <row r="1197" spans="1:10" ht="38.25" outlineLevel="2">
      <c r="A1197" s="462" t="s">
        <v>1905</v>
      </c>
      <c r="B1197" s="463" t="s">
        <v>1906</v>
      </c>
      <c r="C1197" s="464"/>
      <c r="D1197" s="463"/>
      <c r="E1197" s="465">
        <v>24227.424289999999</v>
      </c>
      <c r="F1197" s="465">
        <v>20355.100620000001</v>
      </c>
      <c r="G1197" s="465">
        <v>2704.6136799999999</v>
      </c>
      <c r="H1197" s="465">
        <v>2074.22136</v>
      </c>
      <c r="I1197" s="466">
        <v>8.56</v>
      </c>
      <c r="J1197" s="466"/>
    </row>
    <row r="1198" spans="1:10" ht="25.5" outlineLevel="3">
      <c r="A1198" s="467" t="s">
        <v>1898</v>
      </c>
      <c r="B1198" s="468" t="s">
        <v>1907</v>
      </c>
      <c r="C1198" s="469"/>
      <c r="D1198" s="468"/>
      <c r="E1198" s="470">
        <v>24227.424289999999</v>
      </c>
      <c r="F1198" s="470">
        <v>20355.100620000001</v>
      </c>
      <c r="G1198" s="470">
        <v>2704.6136799999999</v>
      </c>
      <c r="H1198" s="470">
        <v>2074.22136</v>
      </c>
      <c r="I1198" s="471">
        <v>8.56</v>
      </c>
      <c r="J1198" s="471"/>
    </row>
    <row r="1199" spans="1:10" ht="25.5" outlineLevel="4">
      <c r="A1199" s="472" t="s">
        <v>1898</v>
      </c>
      <c r="B1199" s="473" t="s">
        <v>1907</v>
      </c>
      <c r="C1199" s="474" t="s">
        <v>1583</v>
      </c>
      <c r="D1199" s="473" t="s">
        <v>1584</v>
      </c>
      <c r="E1199" s="475">
        <v>24227.424289999999</v>
      </c>
      <c r="F1199" s="475">
        <v>20355.100620000001</v>
      </c>
      <c r="G1199" s="475">
        <v>2704.6136799999999</v>
      </c>
      <c r="H1199" s="475">
        <v>2074.22136</v>
      </c>
      <c r="I1199" s="471">
        <v>8.56</v>
      </c>
      <c r="J1199" s="471"/>
    </row>
    <row r="1200" spans="1:10" ht="38.25" outlineLevel="2">
      <c r="A1200" s="462" t="s">
        <v>1908</v>
      </c>
      <c r="B1200" s="463" t="s">
        <v>1909</v>
      </c>
      <c r="C1200" s="464"/>
      <c r="D1200" s="463"/>
      <c r="E1200" s="465">
        <v>532459.24766999995</v>
      </c>
      <c r="F1200" s="465">
        <v>532459.24766999995</v>
      </c>
      <c r="G1200" s="465">
        <v>561.82512999999994</v>
      </c>
      <c r="H1200" s="465">
        <v>561.82512999999994</v>
      </c>
      <c r="I1200" s="466">
        <v>0.11</v>
      </c>
      <c r="J1200" s="466"/>
    </row>
    <row r="1201" spans="1:10" ht="63.75" outlineLevel="3">
      <c r="A1201" s="467" t="s">
        <v>1910</v>
      </c>
      <c r="B1201" s="468" t="s">
        <v>1911</v>
      </c>
      <c r="C1201" s="469"/>
      <c r="D1201" s="468"/>
      <c r="E1201" s="470">
        <v>468776.68317999999</v>
      </c>
      <c r="F1201" s="470">
        <v>468776.68317999999</v>
      </c>
      <c r="G1201" s="470">
        <v>0</v>
      </c>
      <c r="H1201" s="470">
        <v>0</v>
      </c>
      <c r="I1201" s="471">
        <v>0</v>
      </c>
      <c r="J1201" s="471"/>
    </row>
    <row r="1202" spans="1:10" ht="63.75" outlineLevel="4">
      <c r="A1202" s="472" t="s">
        <v>1910</v>
      </c>
      <c r="B1202" s="473" t="s">
        <v>1911</v>
      </c>
      <c r="C1202" s="474" t="s">
        <v>1583</v>
      </c>
      <c r="D1202" s="473" t="s">
        <v>1584</v>
      </c>
      <c r="E1202" s="475">
        <v>468776.68317999999</v>
      </c>
      <c r="F1202" s="475">
        <v>468776.68317999999</v>
      </c>
      <c r="G1202" s="475">
        <v>0</v>
      </c>
      <c r="H1202" s="475">
        <v>0</v>
      </c>
      <c r="I1202" s="471">
        <v>0</v>
      </c>
      <c r="J1202" s="471"/>
    </row>
    <row r="1203" spans="1:10" ht="89.25" outlineLevel="3">
      <c r="A1203" s="467" t="s">
        <v>1912</v>
      </c>
      <c r="B1203" s="468" t="s">
        <v>1913</v>
      </c>
      <c r="C1203" s="469"/>
      <c r="D1203" s="468"/>
      <c r="E1203" s="470">
        <v>63120.73936</v>
      </c>
      <c r="F1203" s="470">
        <v>63120.73936</v>
      </c>
      <c r="G1203" s="470">
        <v>0</v>
      </c>
      <c r="H1203" s="470">
        <v>0</v>
      </c>
      <c r="I1203" s="471">
        <v>0</v>
      </c>
      <c r="J1203" s="471"/>
    </row>
    <row r="1204" spans="1:10" ht="89.25" outlineLevel="4">
      <c r="A1204" s="472" t="s">
        <v>1912</v>
      </c>
      <c r="B1204" s="473" t="s">
        <v>1913</v>
      </c>
      <c r="C1204" s="474" t="s">
        <v>1583</v>
      </c>
      <c r="D1204" s="473" t="s">
        <v>1584</v>
      </c>
      <c r="E1204" s="475">
        <v>63120.73936</v>
      </c>
      <c r="F1204" s="475">
        <v>63120.73936</v>
      </c>
      <c r="G1204" s="475">
        <v>0</v>
      </c>
      <c r="H1204" s="475">
        <v>0</v>
      </c>
      <c r="I1204" s="471">
        <v>0</v>
      </c>
      <c r="J1204" s="471"/>
    </row>
    <row r="1205" spans="1:10" ht="89.25" outlineLevel="3">
      <c r="A1205" s="467" t="s">
        <v>1914</v>
      </c>
      <c r="B1205" s="468" t="s">
        <v>1915</v>
      </c>
      <c r="C1205" s="469"/>
      <c r="D1205" s="468"/>
      <c r="E1205" s="470">
        <v>561.82512999999994</v>
      </c>
      <c r="F1205" s="470">
        <v>561.82512999999994</v>
      </c>
      <c r="G1205" s="470">
        <v>561.82512999999994</v>
      </c>
      <c r="H1205" s="470">
        <v>561.82512999999994</v>
      </c>
      <c r="I1205" s="471">
        <v>100</v>
      </c>
      <c r="J1205" s="471"/>
    </row>
    <row r="1206" spans="1:10" ht="89.25" outlineLevel="4">
      <c r="A1206" s="472" t="s">
        <v>1914</v>
      </c>
      <c r="B1206" s="473" t="s">
        <v>1915</v>
      </c>
      <c r="C1206" s="474" t="s">
        <v>1583</v>
      </c>
      <c r="D1206" s="473" t="s">
        <v>1584</v>
      </c>
      <c r="E1206" s="475">
        <v>561.82512999999994</v>
      </c>
      <c r="F1206" s="475">
        <v>561.82512999999994</v>
      </c>
      <c r="G1206" s="475">
        <v>561.82512999999994</v>
      </c>
      <c r="H1206" s="475">
        <v>561.82512999999994</v>
      </c>
      <c r="I1206" s="471">
        <v>100</v>
      </c>
      <c r="J1206" s="471"/>
    </row>
    <row r="1207" spans="1:10" outlineLevel="2">
      <c r="A1207" s="462" t="s">
        <v>1916</v>
      </c>
      <c r="B1207" s="463" t="s">
        <v>1917</v>
      </c>
      <c r="C1207" s="464"/>
      <c r="D1207" s="463"/>
      <c r="E1207" s="465">
        <v>1322996.0730999999</v>
      </c>
      <c r="F1207" s="465">
        <v>1322996.0730999999</v>
      </c>
      <c r="G1207" s="465">
        <v>161106.68713000001</v>
      </c>
      <c r="H1207" s="465">
        <v>150678.78198</v>
      </c>
      <c r="I1207" s="466">
        <v>11.39</v>
      </c>
      <c r="J1207" s="466"/>
    </row>
    <row r="1208" spans="1:10" ht="51" outlineLevel="3">
      <c r="A1208" s="467" t="s">
        <v>1918</v>
      </c>
      <c r="B1208" s="468" t="s">
        <v>1919</v>
      </c>
      <c r="C1208" s="469"/>
      <c r="D1208" s="468"/>
      <c r="E1208" s="470">
        <v>1322996.0730999999</v>
      </c>
      <c r="F1208" s="470">
        <v>1322996.0730999999</v>
      </c>
      <c r="G1208" s="470">
        <v>161106.68713000001</v>
      </c>
      <c r="H1208" s="470">
        <v>150678.78198</v>
      </c>
      <c r="I1208" s="471">
        <v>11.39</v>
      </c>
      <c r="J1208" s="471"/>
    </row>
    <row r="1209" spans="1:10" ht="51" outlineLevel="4">
      <c r="A1209" s="472" t="s">
        <v>1918</v>
      </c>
      <c r="B1209" s="473" t="s">
        <v>1919</v>
      </c>
      <c r="C1209" s="474" t="s">
        <v>1583</v>
      </c>
      <c r="D1209" s="473" t="s">
        <v>1584</v>
      </c>
      <c r="E1209" s="475">
        <v>1322996.0730999999</v>
      </c>
      <c r="F1209" s="475">
        <v>1322996.0730999999</v>
      </c>
      <c r="G1209" s="475">
        <v>161106.68713000001</v>
      </c>
      <c r="H1209" s="475">
        <v>150678.78198</v>
      </c>
      <c r="I1209" s="471">
        <v>11.39</v>
      </c>
      <c r="J1209" s="476" t="s">
        <v>10</v>
      </c>
    </row>
    <row r="1210" spans="1:10" ht="25.5" outlineLevel="2">
      <c r="A1210" s="462" t="s">
        <v>1920</v>
      </c>
      <c r="B1210" s="463" t="s">
        <v>1921</v>
      </c>
      <c r="C1210" s="464"/>
      <c r="D1210" s="463"/>
      <c r="E1210" s="465">
        <v>32516.067930000001</v>
      </c>
      <c r="F1210" s="465">
        <v>32516.067930000001</v>
      </c>
      <c r="G1210" s="465">
        <v>31850.234769999999</v>
      </c>
      <c r="H1210" s="465">
        <v>23610.037329999999</v>
      </c>
      <c r="I1210" s="466">
        <v>72.61</v>
      </c>
      <c r="J1210" s="466"/>
    </row>
    <row r="1211" spans="1:10" ht="38.25" outlineLevel="3">
      <c r="A1211" s="467" t="s">
        <v>1922</v>
      </c>
      <c r="B1211" s="468" t="s">
        <v>1923</v>
      </c>
      <c r="C1211" s="469"/>
      <c r="D1211" s="468"/>
      <c r="E1211" s="470">
        <v>23019.374599999999</v>
      </c>
      <c r="F1211" s="470">
        <v>23019.374599999999</v>
      </c>
      <c r="G1211" s="470">
        <v>22353.541440000001</v>
      </c>
      <c r="H1211" s="470">
        <v>14113.343999999999</v>
      </c>
      <c r="I1211" s="471">
        <v>61.31</v>
      </c>
      <c r="J1211" s="471"/>
    </row>
    <row r="1212" spans="1:10" ht="38.25" outlineLevel="4">
      <c r="A1212" s="472" t="s">
        <v>1922</v>
      </c>
      <c r="B1212" s="473" t="s">
        <v>1923</v>
      </c>
      <c r="C1212" s="474" t="s">
        <v>1583</v>
      </c>
      <c r="D1212" s="473" t="s">
        <v>1584</v>
      </c>
      <c r="E1212" s="475">
        <v>23019.374599999999</v>
      </c>
      <c r="F1212" s="475">
        <v>23019.374599999999</v>
      </c>
      <c r="G1212" s="475">
        <v>22353.541440000001</v>
      </c>
      <c r="H1212" s="475">
        <v>14113.343999999999</v>
      </c>
      <c r="I1212" s="471">
        <v>61.31</v>
      </c>
      <c r="J1212" s="471"/>
    </row>
    <row r="1213" spans="1:10" ht="63.75" outlineLevel="3">
      <c r="A1213" s="467" t="s">
        <v>1924</v>
      </c>
      <c r="B1213" s="468" t="s">
        <v>1925</v>
      </c>
      <c r="C1213" s="469"/>
      <c r="D1213" s="468"/>
      <c r="E1213" s="470">
        <v>9496.6933300000001</v>
      </c>
      <c r="F1213" s="470">
        <v>9496.6933300000001</v>
      </c>
      <c r="G1213" s="470">
        <v>9496.6933300000001</v>
      </c>
      <c r="H1213" s="470">
        <v>9496.6933300000001</v>
      </c>
      <c r="I1213" s="471">
        <v>100</v>
      </c>
      <c r="J1213" s="471"/>
    </row>
    <row r="1214" spans="1:10" ht="63.75" outlineLevel="4">
      <c r="A1214" s="472" t="s">
        <v>1924</v>
      </c>
      <c r="B1214" s="473" t="s">
        <v>1925</v>
      </c>
      <c r="C1214" s="474" t="s">
        <v>1583</v>
      </c>
      <c r="D1214" s="473" t="s">
        <v>1584</v>
      </c>
      <c r="E1214" s="475">
        <v>9496.6933300000001</v>
      </c>
      <c r="F1214" s="475">
        <v>9496.6933300000001</v>
      </c>
      <c r="G1214" s="475">
        <v>9496.6933300000001</v>
      </c>
      <c r="H1214" s="475">
        <v>9496.6933300000001</v>
      </c>
      <c r="I1214" s="471">
        <v>100</v>
      </c>
      <c r="J1214" s="471"/>
    </row>
    <row r="1215" spans="1:10" ht="51" outlineLevel="1">
      <c r="A1215" s="457" t="s">
        <v>1926</v>
      </c>
      <c r="B1215" s="458" t="s">
        <v>1927</v>
      </c>
      <c r="C1215" s="459"/>
      <c r="D1215" s="458"/>
      <c r="E1215" s="460">
        <v>944899.73121999996</v>
      </c>
      <c r="F1215" s="460">
        <v>896441.93255999999</v>
      </c>
      <c r="G1215" s="460">
        <v>478069.13095000002</v>
      </c>
      <c r="H1215" s="460">
        <v>378728.46682999999</v>
      </c>
      <c r="I1215" s="461">
        <v>40.08</v>
      </c>
      <c r="J1215" s="461"/>
    </row>
    <row r="1216" spans="1:10" ht="51" outlineLevel="2">
      <c r="A1216" s="462" t="s">
        <v>1928</v>
      </c>
      <c r="B1216" s="463" t="s">
        <v>1929</v>
      </c>
      <c r="C1216" s="464"/>
      <c r="D1216" s="463"/>
      <c r="E1216" s="465">
        <v>19688.312999999998</v>
      </c>
      <c r="F1216" s="465">
        <v>19688.312999999998</v>
      </c>
      <c r="G1216" s="465">
        <v>5243.5778200000004</v>
      </c>
      <c r="H1216" s="465">
        <v>5243.5778200000004</v>
      </c>
      <c r="I1216" s="466">
        <v>26.63</v>
      </c>
      <c r="J1216" s="466"/>
    </row>
    <row r="1217" spans="1:10" ht="51" outlineLevel="3">
      <c r="A1217" s="467" t="s">
        <v>1930</v>
      </c>
      <c r="B1217" s="468" t="s">
        <v>1931</v>
      </c>
      <c r="C1217" s="469"/>
      <c r="D1217" s="468"/>
      <c r="E1217" s="470">
        <v>17324.992999999999</v>
      </c>
      <c r="F1217" s="470">
        <v>17324.992999999999</v>
      </c>
      <c r="G1217" s="470">
        <v>4659.8808200000003</v>
      </c>
      <c r="H1217" s="470">
        <v>4659.8808200000003</v>
      </c>
      <c r="I1217" s="471">
        <v>26.9</v>
      </c>
      <c r="J1217" s="471"/>
    </row>
    <row r="1218" spans="1:10" ht="51" outlineLevel="4">
      <c r="A1218" s="472" t="s">
        <v>1930</v>
      </c>
      <c r="B1218" s="473" t="s">
        <v>1931</v>
      </c>
      <c r="C1218" s="474" t="s">
        <v>1583</v>
      </c>
      <c r="D1218" s="473" t="s">
        <v>1584</v>
      </c>
      <c r="E1218" s="475">
        <v>17324.992999999999</v>
      </c>
      <c r="F1218" s="475">
        <v>17324.992999999999</v>
      </c>
      <c r="G1218" s="475">
        <v>4659.8808200000003</v>
      </c>
      <c r="H1218" s="475">
        <v>4659.8808200000003</v>
      </c>
      <c r="I1218" s="471">
        <v>26.9</v>
      </c>
      <c r="J1218" s="471"/>
    </row>
    <row r="1219" spans="1:10" ht="63.75" outlineLevel="3">
      <c r="A1219" s="467" t="s">
        <v>1932</v>
      </c>
      <c r="B1219" s="468" t="s">
        <v>1933</v>
      </c>
      <c r="C1219" s="469"/>
      <c r="D1219" s="468"/>
      <c r="E1219" s="470">
        <v>1323.251</v>
      </c>
      <c r="F1219" s="470">
        <v>1323.251</v>
      </c>
      <c r="G1219" s="470">
        <v>276.13600000000002</v>
      </c>
      <c r="H1219" s="470">
        <v>276.13600000000002</v>
      </c>
      <c r="I1219" s="471">
        <v>20.87</v>
      </c>
      <c r="J1219" s="471"/>
    </row>
    <row r="1220" spans="1:10" ht="63.75" outlineLevel="4">
      <c r="A1220" s="472" t="s">
        <v>1932</v>
      </c>
      <c r="B1220" s="473" t="s">
        <v>1933</v>
      </c>
      <c r="C1220" s="474" t="s">
        <v>1583</v>
      </c>
      <c r="D1220" s="473" t="s">
        <v>1584</v>
      </c>
      <c r="E1220" s="475">
        <v>1323.251</v>
      </c>
      <c r="F1220" s="475">
        <v>1323.251</v>
      </c>
      <c r="G1220" s="475">
        <v>276.13600000000002</v>
      </c>
      <c r="H1220" s="475">
        <v>276.13600000000002</v>
      </c>
      <c r="I1220" s="471">
        <v>20.87</v>
      </c>
      <c r="J1220" s="471"/>
    </row>
    <row r="1221" spans="1:10" ht="191.25" outlineLevel="3">
      <c r="A1221" s="467" t="s">
        <v>1934</v>
      </c>
      <c r="B1221" s="468" t="s">
        <v>1935</v>
      </c>
      <c r="C1221" s="469"/>
      <c r="D1221" s="468"/>
      <c r="E1221" s="470">
        <v>1040.069</v>
      </c>
      <c r="F1221" s="470">
        <v>1040.069</v>
      </c>
      <c r="G1221" s="470">
        <v>307.56099999999998</v>
      </c>
      <c r="H1221" s="470">
        <v>307.56099999999998</v>
      </c>
      <c r="I1221" s="471">
        <v>29.57</v>
      </c>
      <c r="J1221" s="471"/>
    </row>
    <row r="1222" spans="1:10" ht="191.25" outlineLevel="4">
      <c r="A1222" s="472" t="s">
        <v>1934</v>
      </c>
      <c r="B1222" s="473" t="s">
        <v>1935</v>
      </c>
      <c r="C1222" s="474" t="s">
        <v>1583</v>
      </c>
      <c r="D1222" s="473" t="s">
        <v>1584</v>
      </c>
      <c r="E1222" s="475">
        <v>1040.069</v>
      </c>
      <c r="F1222" s="475">
        <v>1040.069</v>
      </c>
      <c r="G1222" s="475">
        <v>307.56099999999998</v>
      </c>
      <c r="H1222" s="475">
        <v>307.56099999999998</v>
      </c>
      <c r="I1222" s="471">
        <v>29.57</v>
      </c>
      <c r="J1222" s="471"/>
    </row>
    <row r="1223" spans="1:10" ht="51" outlineLevel="2">
      <c r="A1223" s="462" t="s">
        <v>1936</v>
      </c>
      <c r="B1223" s="463" t="s">
        <v>1937</v>
      </c>
      <c r="C1223" s="464"/>
      <c r="D1223" s="463"/>
      <c r="E1223" s="465">
        <v>653973.93368000002</v>
      </c>
      <c r="F1223" s="465">
        <v>653871.90501999995</v>
      </c>
      <c r="G1223" s="465">
        <v>317415.45351999998</v>
      </c>
      <c r="H1223" s="465">
        <v>232467.46661</v>
      </c>
      <c r="I1223" s="466">
        <v>35.549999999999997</v>
      </c>
      <c r="J1223" s="466"/>
    </row>
    <row r="1224" spans="1:10" ht="25.5" outlineLevel="3">
      <c r="A1224" s="467" t="s">
        <v>728</v>
      </c>
      <c r="B1224" s="468" t="s">
        <v>1938</v>
      </c>
      <c r="C1224" s="469"/>
      <c r="D1224" s="468"/>
      <c r="E1224" s="470">
        <v>226986.15289</v>
      </c>
      <c r="F1224" s="470">
        <v>226884.12422999999</v>
      </c>
      <c r="G1224" s="470">
        <v>629.93651999999997</v>
      </c>
      <c r="H1224" s="470">
        <v>629.93651999999997</v>
      </c>
      <c r="I1224" s="471">
        <v>0.28000000000000003</v>
      </c>
      <c r="J1224" s="471"/>
    </row>
    <row r="1225" spans="1:10" ht="25.5" outlineLevel="4">
      <c r="A1225" s="472" t="s">
        <v>728</v>
      </c>
      <c r="B1225" s="473" t="s">
        <v>1938</v>
      </c>
      <c r="C1225" s="474" t="s">
        <v>1583</v>
      </c>
      <c r="D1225" s="473" t="s">
        <v>1584</v>
      </c>
      <c r="E1225" s="475">
        <v>226986.15289</v>
      </c>
      <c r="F1225" s="475">
        <v>226884.12422999999</v>
      </c>
      <c r="G1225" s="475">
        <v>629.93651999999997</v>
      </c>
      <c r="H1225" s="475">
        <v>629.93651999999997</v>
      </c>
      <c r="I1225" s="471">
        <v>0.28000000000000003</v>
      </c>
      <c r="J1225" s="471"/>
    </row>
    <row r="1226" spans="1:10" ht="89.25" outlineLevel="3">
      <c r="A1226" s="467" t="s">
        <v>1939</v>
      </c>
      <c r="B1226" s="468" t="s">
        <v>1940</v>
      </c>
      <c r="C1226" s="469"/>
      <c r="D1226" s="468"/>
      <c r="E1226" s="470">
        <v>127655.11038</v>
      </c>
      <c r="F1226" s="470">
        <v>127655.11038</v>
      </c>
      <c r="G1226" s="470">
        <v>125500</v>
      </c>
      <c r="H1226" s="470">
        <v>125364.75846</v>
      </c>
      <c r="I1226" s="471">
        <v>98.21</v>
      </c>
      <c r="J1226" s="471"/>
    </row>
    <row r="1227" spans="1:10" ht="89.25" outlineLevel="4">
      <c r="A1227" s="472" t="s">
        <v>1939</v>
      </c>
      <c r="B1227" s="473" t="s">
        <v>1940</v>
      </c>
      <c r="C1227" s="474" t="s">
        <v>1583</v>
      </c>
      <c r="D1227" s="473" t="s">
        <v>1584</v>
      </c>
      <c r="E1227" s="475">
        <v>127655.11038</v>
      </c>
      <c r="F1227" s="475">
        <v>127655.11038</v>
      </c>
      <c r="G1227" s="475">
        <v>125500</v>
      </c>
      <c r="H1227" s="475">
        <v>125364.75846</v>
      </c>
      <c r="I1227" s="471">
        <v>98.21</v>
      </c>
      <c r="J1227" s="471"/>
    </row>
    <row r="1228" spans="1:10" ht="102" outlineLevel="3">
      <c r="A1228" s="467" t="s">
        <v>1941</v>
      </c>
      <c r="B1228" s="468" t="s">
        <v>1942</v>
      </c>
      <c r="C1228" s="469"/>
      <c r="D1228" s="468"/>
      <c r="E1228" s="470">
        <v>7339.5608000000002</v>
      </c>
      <c r="F1228" s="470">
        <v>7339.5608000000002</v>
      </c>
      <c r="G1228" s="470">
        <v>3500</v>
      </c>
      <c r="H1228" s="470">
        <v>1982.7335800000001</v>
      </c>
      <c r="I1228" s="471">
        <v>27.01</v>
      </c>
      <c r="J1228" s="471"/>
    </row>
    <row r="1229" spans="1:10" ht="102" outlineLevel="4">
      <c r="A1229" s="472" t="s">
        <v>1941</v>
      </c>
      <c r="B1229" s="473" t="s">
        <v>1942</v>
      </c>
      <c r="C1229" s="474" t="s">
        <v>1583</v>
      </c>
      <c r="D1229" s="473" t="s">
        <v>1584</v>
      </c>
      <c r="E1229" s="475">
        <v>7339.5608000000002</v>
      </c>
      <c r="F1229" s="475">
        <v>7339.5608000000002</v>
      </c>
      <c r="G1229" s="475">
        <v>3500</v>
      </c>
      <c r="H1229" s="475">
        <v>1982.7335800000001</v>
      </c>
      <c r="I1229" s="471">
        <v>27.01</v>
      </c>
      <c r="J1229" s="471"/>
    </row>
    <row r="1230" spans="1:10" ht="114.75" outlineLevel="3">
      <c r="A1230" s="467" t="s">
        <v>1943</v>
      </c>
      <c r="B1230" s="468" t="s">
        <v>1944</v>
      </c>
      <c r="C1230" s="469"/>
      <c r="D1230" s="468"/>
      <c r="E1230" s="470">
        <v>185380.64661</v>
      </c>
      <c r="F1230" s="470">
        <v>185380.64661</v>
      </c>
      <c r="G1230" s="470">
        <v>83000</v>
      </c>
      <c r="H1230" s="470">
        <v>69724.456219999993</v>
      </c>
      <c r="I1230" s="471">
        <v>37.61</v>
      </c>
      <c r="J1230" s="471"/>
    </row>
    <row r="1231" spans="1:10" ht="114.75" outlineLevel="4">
      <c r="A1231" s="472" t="s">
        <v>1943</v>
      </c>
      <c r="B1231" s="473" t="s">
        <v>1944</v>
      </c>
      <c r="C1231" s="474" t="s">
        <v>1583</v>
      </c>
      <c r="D1231" s="473" t="s">
        <v>1584</v>
      </c>
      <c r="E1231" s="475">
        <v>185380.64661</v>
      </c>
      <c r="F1231" s="475">
        <v>185380.64661</v>
      </c>
      <c r="G1231" s="475">
        <v>83000</v>
      </c>
      <c r="H1231" s="475">
        <v>69724.456219999993</v>
      </c>
      <c r="I1231" s="471">
        <v>37.61</v>
      </c>
      <c r="J1231" s="471"/>
    </row>
    <row r="1232" spans="1:10" ht="102" outlineLevel="3">
      <c r="A1232" s="467" t="s">
        <v>1945</v>
      </c>
      <c r="B1232" s="468" t="s">
        <v>1946</v>
      </c>
      <c r="C1232" s="469"/>
      <c r="D1232" s="468"/>
      <c r="E1232" s="470">
        <v>106612.463</v>
      </c>
      <c r="F1232" s="470">
        <v>106612.463</v>
      </c>
      <c r="G1232" s="470">
        <v>104785.51700000001</v>
      </c>
      <c r="H1232" s="470">
        <v>34765.581830000003</v>
      </c>
      <c r="I1232" s="471">
        <v>32.61</v>
      </c>
      <c r="J1232" s="471"/>
    </row>
    <row r="1233" spans="1:10" ht="102" outlineLevel="4">
      <c r="A1233" s="472" t="s">
        <v>1945</v>
      </c>
      <c r="B1233" s="473" t="s">
        <v>1946</v>
      </c>
      <c r="C1233" s="474" t="s">
        <v>1583</v>
      </c>
      <c r="D1233" s="473" t="s">
        <v>1584</v>
      </c>
      <c r="E1233" s="475">
        <v>106612.463</v>
      </c>
      <c r="F1233" s="475">
        <v>106612.463</v>
      </c>
      <c r="G1233" s="475">
        <v>104785.51700000001</v>
      </c>
      <c r="H1233" s="475">
        <v>34765.581830000003</v>
      </c>
      <c r="I1233" s="471">
        <v>32.61</v>
      </c>
      <c r="J1233" s="471"/>
    </row>
    <row r="1234" spans="1:10" ht="38.25" outlineLevel="2">
      <c r="A1234" s="462" t="s">
        <v>1947</v>
      </c>
      <c r="B1234" s="463" t="s">
        <v>1948</v>
      </c>
      <c r="C1234" s="464"/>
      <c r="D1234" s="463"/>
      <c r="E1234" s="465">
        <v>222881.73454</v>
      </c>
      <c r="F1234" s="465">
        <v>222881.71453999999</v>
      </c>
      <c r="G1234" s="465">
        <v>155410.09961</v>
      </c>
      <c r="H1234" s="465">
        <v>141017.42240000001</v>
      </c>
      <c r="I1234" s="466">
        <v>63.27</v>
      </c>
      <c r="J1234" s="466"/>
    </row>
    <row r="1235" spans="1:10" ht="25.5" outlineLevel="3">
      <c r="A1235" s="467" t="s">
        <v>1949</v>
      </c>
      <c r="B1235" s="468" t="s">
        <v>1950</v>
      </c>
      <c r="C1235" s="469"/>
      <c r="D1235" s="468"/>
      <c r="E1235" s="470">
        <v>155687.12</v>
      </c>
      <c r="F1235" s="470">
        <v>155687.1</v>
      </c>
      <c r="G1235" s="470">
        <v>105300</v>
      </c>
      <c r="H1235" s="470">
        <v>104454.3</v>
      </c>
      <c r="I1235" s="471">
        <v>67.09</v>
      </c>
      <c r="J1235" s="471"/>
    </row>
    <row r="1236" spans="1:10" ht="25.5" outlineLevel="4">
      <c r="A1236" s="472" t="s">
        <v>1949</v>
      </c>
      <c r="B1236" s="473" t="s">
        <v>1950</v>
      </c>
      <c r="C1236" s="474" t="s">
        <v>1583</v>
      </c>
      <c r="D1236" s="473" t="s">
        <v>1584</v>
      </c>
      <c r="E1236" s="475">
        <v>155687.12</v>
      </c>
      <c r="F1236" s="475">
        <v>155687.1</v>
      </c>
      <c r="G1236" s="475">
        <v>105300</v>
      </c>
      <c r="H1236" s="475">
        <v>104454.3</v>
      </c>
      <c r="I1236" s="471">
        <v>67.09</v>
      </c>
      <c r="J1236" s="471"/>
    </row>
    <row r="1237" spans="1:10" ht="76.5" outlineLevel="3">
      <c r="A1237" s="467" t="s">
        <v>1951</v>
      </c>
      <c r="B1237" s="468" t="s">
        <v>1952</v>
      </c>
      <c r="C1237" s="469"/>
      <c r="D1237" s="468"/>
      <c r="E1237" s="470">
        <v>14020.780199999999</v>
      </c>
      <c r="F1237" s="470">
        <v>14020.780199999999</v>
      </c>
      <c r="G1237" s="470">
        <v>8960.8224499999997</v>
      </c>
      <c r="H1237" s="470">
        <v>8146.7707099999998</v>
      </c>
      <c r="I1237" s="471">
        <v>58.1</v>
      </c>
      <c r="J1237" s="471"/>
    </row>
    <row r="1238" spans="1:10" ht="76.5" outlineLevel="4">
      <c r="A1238" s="472" t="s">
        <v>1951</v>
      </c>
      <c r="B1238" s="473" t="s">
        <v>1952</v>
      </c>
      <c r="C1238" s="474" t="s">
        <v>1583</v>
      </c>
      <c r="D1238" s="473" t="s">
        <v>1584</v>
      </c>
      <c r="E1238" s="475">
        <v>14020.780199999999</v>
      </c>
      <c r="F1238" s="475">
        <v>14020.780199999999</v>
      </c>
      <c r="G1238" s="475">
        <v>8960.8224499999997</v>
      </c>
      <c r="H1238" s="475">
        <v>8146.7707099999998</v>
      </c>
      <c r="I1238" s="471">
        <v>58.1</v>
      </c>
      <c r="J1238" s="471"/>
    </row>
    <row r="1239" spans="1:10" ht="38.25" outlineLevel="3">
      <c r="A1239" s="467" t="s">
        <v>1953</v>
      </c>
      <c r="B1239" s="468" t="s">
        <v>1954</v>
      </c>
      <c r="C1239" s="469"/>
      <c r="D1239" s="468"/>
      <c r="E1239" s="470">
        <v>53173.834340000001</v>
      </c>
      <c r="F1239" s="470">
        <v>53173.834340000001</v>
      </c>
      <c r="G1239" s="470">
        <v>41149.277159999998</v>
      </c>
      <c r="H1239" s="470">
        <v>28416.35169</v>
      </c>
      <c r="I1239" s="471">
        <v>53.44</v>
      </c>
      <c r="J1239" s="471"/>
    </row>
    <row r="1240" spans="1:10" ht="38.25" outlineLevel="4">
      <c r="A1240" s="472" t="s">
        <v>1953</v>
      </c>
      <c r="B1240" s="473" t="s">
        <v>1954</v>
      </c>
      <c r="C1240" s="474" t="s">
        <v>1583</v>
      </c>
      <c r="D1240" s="473" t="s">
        <v>1584</v>
      </c>
      <c r="E1240" s="475">
        <v>53173.834340000001</v>
      </c>
      <c r="F1240" s="475">
        <v>53173.834340000001</v>
      </c>
      <c r="G1240" s="475">
        <v>41149.277159999998</v>
      </c>
      <c r="H1240" s="475">
        <v>28416.35169</v>
      </c>
      <c r="I1240" s="471">
        <v>53.44</v>
      </c>
      <c r="J1240" s="471"/>
    </row>
    <row r="1241" spans="1:10" ht="25.5" outlineLevel="2">
      <c r="A1241" s="462" t="s">
        <v>1955</v>
      </c>
      <c r="B1241" s="463" t="s">
        <v>1956</v>
      </c>
      <c r="C1241" s="464"/>
      <c r="D1241" s="463"/>
      <c r="E1241" s="465">
        <v>48355.75</v>
      </c>
      <c r="F1241" s="465">
        <v>0</v>
      </c>
      <c r="G1241" s="465">
        <v>0</v>
      </c>
      <c r="H1241" s="465">
        <v>0</v>
      </c>
      <c r="I1241" s="466">
        <v>0</v>
      </c>
      <c r="J1241" s="466"/>
    </row>
    <row r="1242" spans="1:10" ht="25.5" outlineLevel="3">
      <c r="A1242" s="467" t="s">
        <v>728</v>
      </c>
      <c r="B1242" s="468" t="s">
        <v>1957</v>
      </c>
      <c r="C1242" s="469"/>
      <c r="D1242" s="468"/>
      <c r="E1242" s="470">
        <v>48355.75</v>
      </c>
      <c r="F1242" s="470">
        <v>0</v>
      </c>
      <c r="G1242" s="470">
        <v>0</v>
      </c>
      <c r="H1242" s="470">
        <v>0</v>
      </c>
      <c r="I1242" s="471">
        <v>0</v>
      </c>
      <c r="J1242" s="471"/>
    </row>
    <row r="1243" spans="1:10" ht="25.5" outlineLevel="4">
      <c r="A1243" s="472" t="s">
        <v>728</v>
      </c>
      <c r="B1243" s="473" t="s">
        <v>1957</v>
      </c>
      <c r="C1243" s="474" t="s">
        <v>1583</v>
      </c>
      <c r="D1243" s="473" t="s">
        <v>1584</v>
      </c>
      <c r="E1243" s="475">
        <v>48355.75</v>
      </c>
      <c r="F1243" s="475">
        <v>0</v>
      </c>
      <c r="G1243" s="475">
        <v>0</v>
      </c>
      <c r="H1243" s="475">
        <v>0</v>
      </c>
      <c r="I1243" s="471">
        <v>0</v>
      </c>
      <c r="J1243" s="471"/>
    </row>
    <row r="1244" spans="1:10" ht="51" outlineLevel="1">
      <c r="A1244" s="457" t="s">
        <v>1958</v>
      </c>
      <c r="B1244" s="458" t="s">
        <v>1959</v>
      </c>
      <c r="C1244" s="459"/>
      <c r="D1244" s="458"/>
      <c r="E1244" s="460">
        <v>35541.69887</v>
      </c>
      <c r="F1244" s="460">
        <v>31211.22363</v>
      </c>
      <c r="G1244" s="460">
        <v>21004.3272</v>
      </c>
      <c r="H1244" s="460">
        <v>20974.79407</v>
      </c>
      <c r="I1244" s="461">
        <v>59.01</v>
      </c>
      <c r="J1244" s="461"/>
    </row>
    <row r="1245" spans="1:10" ht="51" outlineLevel="2">
      <c r="A1245" s="462" t="s">
        <v>1960</v>
      </c>
      <c r="B1245" s="463" t="s">
        <v>1961</v>
      </c>
      <c r="C1245" s="464"/>
      <c r="D1245" s="463"/>
      <c r="E1245" s="465">
        <v>33247.238870000001</v>
      </c>
      <c r="F1245" s="465">
        <v>28916.763630000001</v>
      </c>
      <c r="G1245" s="465">
        <v>20567.867200000001</v>
      </c>
      <c r="H1245" s="465">
        <v>20538.334070000001</v>
      </c>
      <c r="I1245" s="466">
        <v>61.77</v>
      </c>
      <c r="J1245" s="466"/>
    </row>
    <row r="1246" spans="1:10" ht="76.5" outlineLevel="3">
      <c r="A1246" s="467" t="s">
        <v>717</v>
      </c>
      <c r="B1246" s="468" t="s">
        <v>1962</v>
      </c>
      <c r="C1246" s="469"/>
      <c r="D1246" s="468"/>
      <c r="E1246" s="470">
        <v>109.44</v>
      </c>
      <c r="F1246" s="470">
        <v>109.44</v>
      </c>
      <c r="G1246" s="470">
        <v>109.44</v>
      </c>
      <c r="H1246" s="470">
        <v>109.44</v>
      </c>
      <c r="I1246" s="471">
        <v>100</v>
      </c>
      <c r="J1246" s="471"/>
    </row>
    <row r="1247" spans="1:10" ht="76.5" outlineLevel="4">
      <c r="A1247" s="472" t="s">
        <v>717</v>
      </c>
      <c r="B1247" s="473" t="s">
        <v>1962</v>
      </c>
      <c r="C1247" s="474" t="s">
        <v>726</v>
      </c>
      <c r="D1247" s="473" t="s">
        <v>727</v>
      </c>
      <c r="E1247" s="475">
        <v>109.44</v>
      </c>
      <c r="F1247" s="475">
        <v>109.44</v>
      </c>
      <c r="G1247" s="475">
        <v>109.44</v>
      </c>
      <c r="H1247" s="475">
        <v>109.44</v>
      </c>
      <c r="I1247" s="471">
        <v>100</v>
      </c>
      <c r="J1247" s="471"/>
    </row>
    <row r="1248" spans="1:10" ht="25.5" outlineLevel="3">
      <c r="A1248" s="467" t="s">
        <v>728</v>
      </c>
      <c r="B1248" s="468" t="s">
        <v>1963</v>
      </c>
      <c r="C1248" s="469"/>
      <c r="D1248" s="468"/>
      <c r="E1248" s="470">
        <v>28016.025089999999</v>
      </c>
      <c r="F1248" s="470">
        <v>28016.025089999999</v>
      </c>
      <c r="G1248" s="470">
        <v>20000</v>
      </c>
      <c r="H1248" s="470">
        <v>20000</v>
      </c>
      <c r="I1248" s="471">
        <v>71.39</v>
      </c>
      <c r="J1248" s="471"/>
    </row>
    <row r="1249" spans="1:10" ht="25.5" outlineLevel="4">
      <c r="A1249" s="472" t="s">
        <v>728</v>
      </c>
      <c r="B1249" s="473" t="s">
        <v>1963</v>
      </c>
      <c r="C1249" s="474" t="s">
        <v>1583</v>
      </c>
      <c r="D1249" s="473" t="s">
        <v>1584</v>
      </c>
      <c r="E1249" s="475">
        <v>28016.025089999999</v>
      </c>
      <c r="F1249" s="475">
        <v>28016.025089999999</v>
      </c>
      <c r="G1249" s="475">
        <v>20000</v>
      </c>
      <c r="H1249" s="475">
        <v>20000</v>
      </c>
      <c r="I1249" s="471">
        <v>71.39</v>
      </c>
      <c r="J1249" s="471"/>
    </row>
    <row r="1250" spans="1:10" ht="25.5" outlineLevel="3">
      <c r="A1250" s="467" t="s">
        <v>1898</v>
      </c>
      <c r="B1250" s="468" t="s">
        <v>1964</v>
      </c>
      <c r="C1250" s="469"/>
      <c r="D1250" s="468"/>
      <c r="E1250" s="470">
        <v>942.97774000000004</v>
      </c>
      <c r="F1250" s="470">
        <v>767.30070000000001</v>
      </c>
      <c r="G1250" s="470">
        <v>434.42935999999997</v>
      </c>
      <c r="H1250" s="470">
        <v>404.89623</v>
      </c>
      <c r="I1250" s="471">
        <v>42.94</v>
      </c>
      <c r="J1250" s="471"/>
    </row>
    <row r="1251" spans="1:10" ht="25.5" outlineLevel="4">
      <c r="A1251" s="472" t="s">
        <v>1898</v>
      </c>
      <c r="B1251" s="473" t="s">
        <v>1964</v>
      </c>
      <c r="C1251" s="474" t="s">
        <v>1583</v>
      </c>
      <c r="D1251" s="473" t="s">
        <v>1584</v>
      </c>
      <c r="E1251" s="475">
        <v>942.97774000000004</v>
      </c>
      <c r="F1251" s="475">
        <v>767.30070000000001</v>
      </c>
      <c r="G1251" s="475">
        <v>434.42935999999997</v>
      </c>
      <c r="H1251" s="475">
        <v>404.89623</v>
      </c>
      <c r="I1251" s="471">
        <v>42.94</v>
      </c>
      <c r="J1251" s="471"/>
    </row>
    <row r="1252" spans="1:10" ht="102" outlineLevel="3">
      <c r="A1252" s="467" t="s">
        <v>1965</v>
      </c>
      <c r="B1252" s="468" t="s">
        <v>1966</v>
      </c>
      <c r="C1252" s="469"/>
      <c r="D1252" s="468"/>
      <c r="E1252" s="470">
        <v>4178.7960400000002</v>
      </c>
      <c r="F1252" s="470">
        <v>23.99784</v>
      </c>
      <c r="G1252" s="470">
        <v>23.99784</v>
      </c>
      <c r="H1252" s="470">
        <v>23.99784</v>
      </c>
      <c r="I1252" s="471">
        <v>0.56999999999999995</v>
      </c>
      <c r="J1252" s="471"/>
    </row>
    <row r="1253" spans="1:10" ht="102" outlineLevel="4">
      <c r="A1253" s="472" t="s">
        <v>1965</v>
      </c>
      <c r="B1253" s="473" t="s">
        <v>1966</v>
      </c>
      <c r="C1253" s="474" t="s">
        <v>1583</v>
      </c>
      <c r="D1253" s="473" t="s">
        <v>1584</v>
      </c>
      <c r="E1253" s="475">
        <v>4178.7960400000002</v>
      </c>
      <c r="F1253" s="475">
        <v>23.99784</v>
      </c>
      <c r="G1253" s="475">
        <v>23.99784</v>
      </c>
      <c r="H1253" s="475">
        <v>23.99784</v>
      </c>
      <c r="I1253" s="471">
        <v>0.56999999999999995</v>
      </c>
      <c r="J1253" s="471"/>
    </row>
    <row r="1254" spans="1:10" ht="51" outlineLevel="2">
      <c r="A1254" s="462" t="s">
        <v>1967</v>
      </c>
      <c r="B1254" s="463" t="s">
        <v>1968</v>
      </c>
      <c r="C1254" s="464"/>
      <c r="D1254" s="463"/>
      <c r="E1254" s="465">
        <v>1800</v>
      </c>
      <c r="F1254" s="465">
        <v>1800</v>
      </c>
      <c r="G1254" s="465">
        <v>0</v>
      </c>
      <c r="H1254" s="465">
        <v>0</v>
      </c>
      <c r="I1254" s="466">
        <v>0</v>
      </c>
      <c r="J1254" s="466"/>
    </row>
    <row r="1255" spans="1:10" ht="76.5" outlineLevel="3">
      <c r="A1255" s="467" t="s">
        <v>717</v>
      </c>
      <c r="B1255" s="468" t="s">
        <v>1969</v>
      </c>
      <c r="C1255" s="469"/>
      <c r="D1255" s="468"/>
      <c r="E1255" s="470">
        <v>1800</v>
      </c>
      <c r="F1255" s="470">
        <v>1800</v>
      </c>
      <c r="G1255" s="470">
        <v>0</v>
      </c>
      <c r="H1255" s="470">
        <v>0</v>
      </c>
      <c r="I1255" s="471">
        <v>0</v>
      </c>
      <c r="J1255" s="471"/>
    </row>
    <row r="1256" spans="1:10" ht="76.5" outlineLevel="4">
      <c r="A1256" s="472" t="s">
        <v>717</v>
      </c>
      <c r="B1256" s="473" t="s">
        <v>1969</v>
      </c>
      <c r="C1256" s="474" t="s">
        <v>730</v>
      </c>
      <c r="D1256" s="473" t="s">
        <v>731</v>
      </c>
      <c r="E1256" s="475">
        <v>1800</v>
      </c>
      <c r="F1256" s="475">
        <v>1800</v>
      </c>
      <c r="G1256" s="475">
        <v>0</v>
      </c>
      <c r="H1256" s="475">
        <v>0</v>
      </c>
      <c r="I1256" s="471">
        <v>0</v>
      </c>
      <c r="J1256" s="471"/>
    </row>
    <row r="1257" spans="1:10" ht="38.25" outlineLevel="2">
      <c r="A1257" s="462" t="s">
        <v>1970</v>
      </c>
      <c r="B1257" s="463" t="s">
        <v>1971</v>
      </c>
      <c r="C1257" s="464"/>
      <c r="D1257" s="463"/>
      <c r="E1257" s="465">
        <v>494.46</v>
      </c>
      <c r="F1257" s="465">
        <v>494.46</v>
      </c>
      <c r="G1257" s="465">
        <v>436.46</v>
      </c>
      <c r="H1257" s="465">
        <v>436.46</v>
      </c>
      <c r="I1257" s="466">
        <v>88.27</v>
      </c>
      <c r="J1257" s="466"/>
    </row>
    <row r="1258" spans="1:10" ht="51" outlineLevel="3">
      <c r="A1258" s="467" t="s">
        <v>1972</v>
      </c>
      <c r="B1258" s="468" t="s">
        <v>1973</v>
      </c>
      <c r="C1258" s="469"/>
      <c r="D1258" s="468"/>
      <c r="E1258" s="470">
        <v>494.46</v>
      </c>
      <c r="F1258" s="470">
        <v>494.46</v>
      </c>
      <c r="G1258" s="470">
        <v>436.46</v>
      </c>
      <c r="H1258" s="470">
        <v>436.46</v>
      </c>
      <c r="I1258" s="471">
        <v>88.27</v>
      </c>
      <c r="J1258" s="471"/>
    </row>
    <row r="1259" spans="1:10" ht="51" outlineLevel="4">
      <c r="A1259" s="472" t="s">
        <v>1972</v>
      </c>
      <c r="B1259" s="473" t="s">
        <v>1973</v>
      </c>
      <c r="C1259" s="474" t="s">
        <v>726</v>
      </c>
      <c r="D1259" s="473" t="s">
        <v>727</v>
      </c>
      <c r="E1259" s="475">
        <v>494.46</v>
      </c>
      <c r="F1259" s="475">
        <v>494.46</v>
      </c>
      <c r="G1259" s="475">
        <v>436.46</v>
      </c>
      <c r="H1259" s="475">
        <v>436.46</v>
      </c>
      <c r="I1259" s="471">
        <v>88.27</v>
      </c>
      <c r="J1259" s="471"/>
    </row>
    <row r="1260" spans="1:10" ht="38.25" outlineLevel="1">
      <c r="A1260" s="457" t="s">
        <v>1034</v>
      </c>
      <c r="B1260" s="458" t="s">
        <v>1974</v>
      </c>
      <c r="C1260" s="459"/>
      <c r="D1260" s="458"/>
      <c r="E1260" s="460">
        <v>415636.37649</v>
      </c>
      <c r="F1260" s="460">
        <v>267835.94400999998</v>
      </c>
      <c r="G1260" s="460">
        <v>194495.94193999999</v>
      </c>
      <c r="H1260" s="460">
        <v>186542.85394</v>
      </c>
      <c r="I1260" s="461">
        <v>44.88</v>
      </c>
      <c r="J1260" s="461"/>
    </row>
    <row r="1261" spans="1:10" ht="38.25" outlineLevel="2">
      <c r="A1261" s="462" t="s">
        <v>1975</v>
      </c>
      <c r="B1261" s="463" t="s">
        <v>1976</v>
      </c>
      <c r="C1261" s="464"/>
      <c r="D1261" s="463"/>
      <c r="E1261" s="465">
        <v>80596.877210000006</v>
      </c>
      <c r="F1261" s="465">
        <v>52816.907859999999</v>
      </c>
      <c r="G1261" s="465">
        <v>32148.61836</v>
      </c>
      <c r="H1261" s="465">
        <v>28162.440640000001</v>
      </c>
      <c r="I1261" s="466">
        <v>34.94</v>
      </c>
      <c r="J1261" s="466"/>
    </row>
    <row r="1262" spans="1:10" ht="25.5" outlineLevel="3">
      <c r="A1262" s="467" t="s">
        <v>888</v>
      </c>
      <c r="B1262" s="468" t="s">
        <v>1977</v>
      </c>
      <c r="C1262" s="469"/>
      <c r="D1262" s="468"/>
      <c r="E1262" s="470">
        <v>50133.128559999997</v>
      </c>
      <c r="F1262" s="470">
        <v>50133.128559999997</v>
      </c>
      <c r="G1262" s="470">
        <v>31200</v>
      </c>
      <c r="H1262" s="470">
        <v>27275.648280000001</v>
      </c>
      <c r="I1262" s="471">
        <v>54.41</v>
      </c>
      <c r="J1262" s="471"/>
    </row>
    <row r="1263" spans="1:10" ht="25.5" outlineLevel="4">
      <c r="A1263" s="472" t="s">
        <v>888</v>
      </c>
      <c r="B1263" s="473" t="s">
        <v>1977</v>
      </c>
      <c r="C1263" s="474" t="s">
        <v>1583</v>
      </c>
      <c r="D1263" s="473" t="s">
        <v>1584</v>
      </c>
      <c r="E1263" s="475">
        <v>50133.128559999997</v>
      </c>
      <c r="F1263" s="475">
        <v>50133.128559999997</v>
      </c>
      <c r="G1263" s="475">
        <v>31200</v>
      </c>
      <c r="H1263" s="475">
        <v>27275.648280000001</v>
      </c>
      <c r="I1263" s="471">
        <v>54.41</v>
      </c>
      <c r="J1263" s="471"/>
    </row>
    <row r="1264" spans="1:10" ht="38.25" outlineLevel="3">
      <c r="A1264" s="467" t="s">
        <v>869</v>
      </c>
      <c r="B1264" s="468" t="s">
        <v>1978</v>
      </c>
      <c r="C1264" s="469"/>
      <c r="D1264" s="468"/>
      <c r="E1264" s="470">
        <v>2198.1552999999999</v>
      </c>
      <c r="F1264" s="470">
        <v>2198.1552999999999</v>
      </c>
      <c r="G1264" s="470">
        <v>925.94782999999995</v>
      </c>
      <c r="H1264" s="470">
        <v>864.12183000000005</v>
      </c>
      <c r="I1264" s="471">
        <v>39.31</v>
      </c>
      <c r="J1264" s="471"/>
    </row>
    <row r="1265" spans="1:10" ht="38.25" outlineLevel="4">
      <c r="A1265" s="472" t="s">
        <v>869</v>
      </c>
      <c r="B1265" s="473" t="s">
        <v>1978</v>
      </c>
      <c r="C1265" s="474" t="s">
        <v>1583</v>
      </c>
      <c r="D1265" s="473" t="s">
        <v>1584</v>
      </c>
      <c r="E1265" s="475">
        <v>2198.1552999999999</v>
      </c>
      <c r="F1265" s="475">
        <v>2198.1552999999999</v>
      </c>
      <c r="G1265" s="475">
        <v>925.94782999999995</v>
      </c>
      <c r="H1265" s="475">
        <v>864.12183000000005</v>
      </c>
      <c r="I1265" s="471">
        <v>39.31</v>
      </c>
      <c r="J1265" s="471"/>
    </row>
    <row r="1266" spans="1:10" ht="63.75" outlineLevel="3">
      <c r="A1266" s="467" t="s">
        <v>62</v>
      </c>
      <c r="B1266" s="468" t="s">
        <v>1979</v>
      </c>
      <c r="C1266" s="469"/>
      <c r="D1266" s="468"/>
      <c r="E1266" s="470">
        <v>485.62400000000002</v>
      </c>
      <c r="F1266" s="470">
        <v>485.62400000000002</v>
      </c>
      <c r="G1266" s="470">
        <v>22.670529999999999</v>
      </c>
      <c r="H1266" s="470">
        <v>22.670529999999999</v>
      </c>
      <c r="I1266" s="471">
        <v>4.67</v>
      </c>
      <c r="J1266" s="471"/>
    </row>
    <row r="1267" spans="1:10" ht="63.75" outlineLevel="4">
      <c r="A1267" s="472" t="s">
        <v>62</v>
      </c>
      <c r="B1267" s="473" t="s">
        <v>1979</v>
      </c>
      <c r="C1267" s="474" t="s">
        <v>1583</v>
      </c>
      <c r="D1267" s="473" t="s">
        <v>1584</v>
      </c>
      <c r="E1267" s="475">
        <v>485.62400000000002</v>
      </c>
      <c r="F1267" s="475">
        <v>485.62400000000002</v>
      </c>
      <c r="G1267" s="475">
        <v>22.670529999999999</v>
      </c>
      <c r="H1267" s="475">
        <v>22.670529999999999</v>
      </c>
      <c r="I1267" s="471">
        <v>4.67</v>
      </c>
      <c r="J1267" s="471"/>
    </row>
    <row r="1268" spans="1:10" ht="25.5" outlineLevel="3">
      <c r="A1268" s="467" t="s">
        <v>721</v>
      </c>
      <c r="B1268" s="468" t="s">
        <v>1980</v>
      </c>
      <c r="C1268" s="469"/>
      <c r="D1268" s="468"/>
      <c r="E1268" s="470">
        <v>27779.969349999999</v>
      </c>
      <c r="F1268" s="470">
        <v>0</v>
      </c>
      <c r="G1268" s="470">
        <v>0</v>
      </c>
      <c r="H1268" s="470">
        <v>0</v>
      </c>
      <c r="I1268" s="471">
        <v>0</v>
      </c>
      <c r="J1268" s="471"/>
    </row>
    <row r="1269" spans="1:10" ht="25.5" outlineLevel="4">
      <c r="A1269" s="472" t="s">
        <v>721</v>
      </c>
      <c r="B1269" s="473" t="s">
        <v>1980</v>
      </c>
      <c r="C1269" s="474" t="s">
        <v>1583</v>
      </c>
      <c r="D1269" s="473" t="s">
        <v>1584</v>
      </c>
      <c r="E1269" s="475">
        <v>27779.969349999999</v>
      </c>
      <c r="F1269" s="475">
        <v>0</v>
      </c>
      <c r="G1269" s="475">
        <v>0</v>
      </c>
      <c r="H1269" s="475">
        <v>0</v>
      </c>
      <c r="I1269" s="471">
        <v>0</v>
      </c>
      <c r="J1269" s="471"/>
    </row>
    <row r="1270" spans="1:10" ht="38.25" outlineLevel="2">
      <c r="A1270" s="462" t="s">
        <v>1981</v>
      </c>
      <c r="B1270" s="463" t="s">
        <v>1982</v>
      </c>
      <c r="C1270" s="464"/>
      <c r="D1270" s="463"/>
      <c r="E1270" s="465">
        <v>332706.16927999997</v>
      </c>
      <c r="F1270" s="465">
        <v>212685.70615000001</v>
      </c>
      <c r="G1270" s="465">
        <v>161222.70358</v>
      </c>
      <c r="H1270" s="465">
        <v>157835.9333</v>
      </c>
      <c r="I1270" s="466">
        <v>47.44</v>
      </c>
      <c r="J1270" s="466"/>
    </row>
    <row r="1271" spans="1:10" ht="76.5" outlineLevel="3">
      <c r="A1271" s="467" t="s">
        <v>717</v>
      </c>
      <c r="B1271" s="468" t="s">
        <v>1983</v>
      </c>
      <c r="C1271" s="469"/>
      <c r="D1271" s="468"/>
      <c r="E1271" s="470">
        <v>3730.92</v>
      </c>
      <c r="F1271" s="470">
        <v>3730.92</v>
      </c>
      <c r="G1271" s="470">
        <v>2732.3314999999998</v>
      </c>
      <c r="H1271" s="470">
        <v>2710.1811200000002</v>
      </c>
      <c r="I1271" s="471">
        <v>72.64</v>
      </c>
      <c r="J1271" s="471"/>
    </row>
    <row r="1272" spans="1:10" ht="76.5" outlineLevel="4">
      <c r="A1272" s="472" t="s">
        <v>717</v>
      </c>
      <c r="B1272" s="473" t="s">
        <v>1983</v>
      </c>
      <c r="C1272" s="474" t="s">
        <v>1583</v>
      </c>
      <c r="D1272" s="473" t="s">
        <v>1584</v>
      </c>
      <c r="E1272" s="475">
        <v>3730.92</v>
      </c>
      <c r="F1272" s="475">
        <v>3730.92</v>
      </c>
      <c r="G1272" s="475">
        <v>2732.3314999999998</v>
      </c>
      <c r="H1272" s="475">
        <v>2710.1811200000002</v>
      </c>
      <c r="I1272" s="471">
        <v>72.64</v>
      </c>
      <c r="J1272" s="471"/>
    </row>
    <row r="1273" spans="1:10" ht="38.25" outlineLevel="3">
      <c r="A1273" s="467" t="s">
        <v>1984</v>
      </c>
      <c r="B1273" s="468" t="s">
        <v>1985</v>
      </c>
      <c r="C1273" s="469"/>
      <c r="D1273" s="468"/>
      <c r="E1273" s="470">
        <v>327774.24896</v>
      </c>
      <c r="F1273" s="470">
        <v>207753.78583000001</v>
      </c>
      <c r="G1273" s="470">
        <v>158335.37208</v>
      </c>
      <c r="H1273" s="470">
        <v>155004.02108000001</v>
      </c>
      <c r="I1273" s="471">
        <v>47.29</v>
      </c>
      <c r="J1273" s="471"/>
    </row>
    <row r="1274" spans="1:10" ht="38.25" outlineLevel="4">
      <c r="A1274" s="472" t="s">
        <v>1984</v>
      </c>
      <c r="B1274" s="473" t="s">
        <v>1985</v>
      </c>
      <c r="C1274" s="474" t="s">
        <v>1583</v>
      </c>
      <c r="D1274" s="473" t="s">
        <v>1584</v>
      </c>
      <c r="E1274" s="475">
        <v>327774.24896</v>
      </c>
      <c r="F1274" s="475">
        <v>207753.78583000001</v>
      </c>
      <c r="G1274" s="475">
        <v>158335.37208</v>
      </c>
      <c r="H1274" s="475">
        <v>155004.02108000001</v>
      </c>
      <c r="I1274" s="471">
        <v>47.29</v>
      </c>
      <c r="J1274" s="471"/>
    </row>
    <row r="1275" spans="1:10" ht="76.5" outlineLevel="3">
      <c r="A1275" s="467" t="s">
        <v>1986</v>
      </c>
      <c r="B1275" s="468" t="s">
        <v>1987</v>
      </c>
      <c r="C1275" s="469"/>
      <c r="D1275" s="468"/>
      <c r="E1275" s="470">
        <v>1201.0003200000001</v>
      </c>
      <c r="F1275" s="470">
        <v>1201.0003200000001</v>
      </c>
      <c r="G1275" s="470">
        <v>155</v>
      </c>
      <c r="H1275" s="470">
        <v>121.7311</v>
      </c>
      <c r="I1275" s="471">
        <v>10.14</v>
      </c>
      <c r="J1275" s="471"/>
    </row>
    <row r="1276" spans="1:10" ht="76.5" outlineLevel="4">
      <c r="A1276" s="472" t="s">
        <v>1986</v>
      </c>
      <c r="B1276" s="473" t="s">
        <v>1987</v>
      </c>
      <c r="C1276" s="474" t="s">
        <v>1583</v>
      </c>
      <c r="D1276" s="473" t="s">
        <v>1584</v>
      </c>
      <c r="E1276" s="475">
        <v>1201.0003200000001</v>
      </c>
      <c r="F1276" s="475">
        <v>1201.0003200000001</v>
      </c>
      <c r="G1276" s="475">
        <v>155</v>
      </c>
      <c r="H1276" s="475">
        <v>121.7311</v>
      </c>
      <c r="I1276" s="471">
        <v>10.14</v>
      </c>
      <c r="J1276" s="471"/>
    </row>
    <row r="1277" spans="1:10" ht="25.5" outlineLevel="2">
      <c r="A1277" s="462" t="s">
        <v>1988</v>
      </c>
      <c r="B1277" s="463" t="s">
        <v>1989</v>
      </c>
      <c r="C1277" s="464"/>
      <c r="D1277" s="463"/>
      <c r="E1277" s="465">
        <v>2333.33</v>
      </c>
      <c r="F1277" s="465">
        <v>2333.33</v>
      </c>
      <c r="G1277" s="465">
        <v>1124.6199999999999</v>
      </c>
      <c r="H1277" s="465">
        <v>544.48</v>
      </c>
      <c r="I1277" s="466">
        <v>23.33</v>
      </c>
      <c r="J1277" s="466"/>
    </row>
    <row r="1278" spans="1:10" ht="38.25" outlineLevel="3">
      <c r="A1278" s="467" t="s">
        <v>1984</v>
      </c>
      <c r="B1278" s="468" t="s">
        <v>1990</v>
      </c>
      <c r="C1278" s="469"/>
      <c r="D1278" s="468"/>
      <c r="E1278" s="470">
        <v>2333.33</v>
      </c>
      <c r="F1278" s="470">
        <v>2333.33</v>
      </c>
      <c r="G1278" s="470">
        <v>1124.6199999999999</v>
      </c>
      <c r="H1278" s="470">
        <v>544.48</v>
      </c>
      <c r="I1278" s="471">
        <v>23.33</v>
      </c>
      <c r="J1278" s="471"/>
    </row>
    <row r="1279" spans="1:10" ht="38.25" outlineLevel="4">
      <c r="A1279" s="472" t="s">
        <v>1984</v>
      </c>
      <c r="B1279" s="473" t="s">
        <v>1990</v>
      </c>
      <c r="C1279" s="474" t="s">
        <v>1583</v>
      </c>
      <c r="D1279" s="473" t="s">
        <v>1584</v>
      </c>
      <c r="E1279" s="475">
        <v>2333.33</v>
      </c>
      <c r="F1279" s="475">
        <v>2333.33</v>
      </c>
      <c r="G1279" s="475">
        <v>1124.6199999999999</v>
      </c>
      <c r="H1279" s="475">
        <v>544.48</v>
      </c>
      <c r="I1279" s="471">
        <v>23.33</v>
      </c>
      <c r="J1279" s="471"/>
    </row>
    <row r="1280" spans="1:10" ht="75.75" collapsed="1" thickBot="1">
      <c r="A1280" s="452" t="s">
        <v>1991</v>
      </c>
      <c r="B1280" s="453" t="s">
        <v>1992</v>
      </c>
      <c r="C1280" s="454"/>
      <c r="D1280" s="453"/>
      <c r="E1280" s="455">
        <v>1113016.27144</v>
      </c>
      <c r="F1280" s="455">
        <v>910244.30264000001</v>
      </c>
      <c r="G1280" s="455">
        <v>467032.44533000002</v>
      </c>
      <c r="H1280" s="455">
        <v>446111.09996000002</v>
      </c>
      <c r="I1280" s="456">
        <v>40.08</v>
      </c>
      <c r="J1280" s="456"/>
    </row>
    <row r="1281" spans="1:10" ht="25.5" outlineLevel="1">
      <c r="A1281" s="457" t="s">
        <v>1993</v>
      </c>
      <c r="B1281" s="458" t="s">
        <v>1994</v>
      </c>
      <c r="C1281" s="459"/>
      <c r="D1281" s="458"/>
      <c r="E1281" s="460">
        <v>102255.7</v>
      </c>
      <c r="F1281" s="460">
        <v>102255.7</v>
      </c>
      <c r="G1281" s="460">
        <v>12</v>
      </c>
      <c r="H1281" s="460">
        <v>0</v>
      </c>
      <c r="I1281" s="461">
        <v>0</v>
      </c>
      <c r="J1281" s="461"/>
    </row>
    <row r="1282" spans="1:10" ht="38.25" outlineLevel="2">
      <c r="A1282" s="462" t="s">
        <v>1995</v>
      </c>
      <c r="B1282" s="463" t="s">
        <v>1996</v>
      </c>
      <c r="C1282" s="464"/>
      <c r="D1282" s="463"/>
      <c r="E1282" s="465">
        <v>100000</v>
      </c>
      <c r="F1282" s="465">
        <v>100000</v>
      </c>
      <c r="G1282" s="465">
        <v>0</v>
      </c>
      <c r="H1282" s="465">
        <v>0</v>
      </c>
      <c r="I1282" s="466">
        <v>0</v>
      </c>
      <c r="J1282" s="466"/>
    </row>
    <row r="1283" spans="1:10" ht="38.25" outlineLevel="3">
      <c r="A1283" s="467" t="s">
        <v>1997</v>
      </c>
      <c r="B1283" s="468" t="s">
        <v>1998</v>
      </c>
      <c r="C1283" s="469"/>
      <c r="D1283" s="468"/>
      <c r="E1283" s="470">
        <v>100000</v>
      </c>
      <c r="F1283" s="470">
        <v>100000</v>
      </c>
      <c r="G1283" s="470">
        <v>0</v>
      </c>
      <c r="H1283" s="470">
        <v>0</v>
      </c>
      <c r="I1283" s="471">
        <v>0</v>
      </c>
      <c r="J1283" s="471"/>
    </row>
    <row r="1284" spans="1:10" ht="38.25" outlineLevel="4">
      <c r="A1284" s="472" t="s">
        <v>1997</v>
      </c>
      <c r="B1284" s="473" t="s">
        <v>1998</v>
      </c>
      <c r="C1284" s="474" t="s">
        <v>1999</v>
      </c>
      <c r="D1284" s="473" t="s">
        <v>2000</v>
      </c>
      <c r="E1284" s="475">
        <v>100000</v>
      </c>
      <c r="F1284" s="475">
        <v>100000</v>
      </c>
      <c r="G1284" s="475">
        <v>0</v>
      </c>
      <c r="H1284" s="475">
        <v>0</v>
      </c>
      <c r="I1284" s="471">
        <v>0</v>
      </c>
      <c r="J1284" s="471"/>
    </row>
    <row r="1285" spans="1:10" ht="51" outlineLevel="2">
      <c r="A1285" s="462" t="s">
        <v>2001</v>
      </c>
      <c r="B1285" s="463" t="s">
        <v>2002</v>
      </c>
      <c r="C1285" s="464"/>
      <c r="D1285" s="463"/>
      <c r="E1285" s="465">
        <v>2255.6999999999998</v>
      </c>
      <c r="F1285" s="465">
        <v>2255.6999999999998</v>
      </c>
      <c r="G1285" s="465">
        <v>12</v>
      </c>
      <c r="H1285" s="465">
        <v>0</v>
      </c>
      <c r="I1285" s="466">
        <v>0</v>
      </c>
      <c r="J1285" s="466"/>
    </row>
    <row r="1286" spans="1:10" ht="25.5" outlineLevel="3">
      <c r="A1286" s="467" t="s">
        <v>728</v>
      </c>
      <c r="B1286" s="468" t="s">
        <v>2003</v>
      </c>
      <c r="C1286" s="469"/>
      <c r="D1286" s="468"/>
      <c r="E1286" s="470">
        <v>2255.6999999999998</v>
      </c>
      <c r="F1286" s="470">
        <v>2255.6999999999998</v>
      </c>
      <c r="G1286" s="470">
        <v>12</v>
      </c>
      <c r="H1286" s="470">
        <v>0</v>
      </c>
      <c r="I1286" s="471">
        <v>0</v>
      </c>
      <c r="J1286" s="471"/>
    </row>
    <row r="1287" spans="1:10" ht="25.5" outlineLevel="4">
      <c r="A1287" s="472" t="s">
        <v>728</v>
      </c>
      <c r="B1287" s="473" t="s">
        <v>2003</v>
      </c>
      <c r="C1287" s="474" t="s">
        <v>2004</v>
      </c>
      <c r="D1287" s="473" t="s">
        <v>2005</v>
      </c>
      <c r="E1287" s="475">
        <v>1500</v>
      </c>
      <c r="F1287" s="475">
        <v>1500</v>
      </c>
      <c r="G1287" s="475">
        <v>0</v>
      </c>
      <c r="H1287" s="475">
        <v>0</v>
      </c>
      <c r="I1287" s="471">
        <v>0</v>
      </c>
      <c r="J1287" s="471"/>
    </row>
    <row r="1288" spans="1:10" ht="38.25" outlineLevel="4">
      <c r="A1288" s="472" t="s">
        <v>728</v>
      </c>
      <c r="B1288" s="473" t="s">
        <v>2003</v>
      </c>
      <c r="C1288" s="474" t="s">
        <v>1817</v>
      </c>
      <c r="D1288" s="473" t="s">
        <v>1818</v>
      </c>
      <c r="E1288" s="475">
        <v>755.7</v>
      </c>
      <c r="F1288" s="475">
        <v>755.7</v>
      </c>
      <c r="G1288" s="475">
        <v>12</v>
      </c>
      <c r="H1288" s="475">
        <v>0</v>
      </c>
      <c r="I1288" s="471">
        <v>0</v>
      </c>
      <c r="J1288" s="471"/>
    </row>
    <row r="1289" spans="1:10" ht="25.5" outlineLevel="1">
      <c r="A1289" s="457" t="s">
        <v>2006</v>
      </c>
      <c r="B1289" s="458" t="s">
        <v>2007</v>
      </c>
      <c r="C1289" s="459"/>
      <c r="D1289" s="458"/>
      <c r="E1289" s="460">
        <v>384647.60816</v>
      </c>
      <c r="F1289" s="460">
        <v>360517.32043000002</v>
      </c>
      <c r="G1289" s="460">
        <v>315564.38007000001</v>
      </c>
      <c r="H1289" s="460">
        <v>304255.54506999999</v>
      </c>
      <c r="I1289" s="461">
        <v>79.099999999999994</v>
      </c>
      <c r="J1289" s="461"/>
    </row>
    <row r="1290" spans="1:10" ht="51" outlineLevel="2">
      <c r="A1290" s="462" t="s">
        <v>2008</v>
      </c>
      <c r="B1290" s="463" t="s">
        <v>2009</v>
      </c>
      <c r="C1290" s="464"/>
      <c r="D1290" s="463"/>
      <c r="E1290" s="465">
        <v>61300.42254</v>
      </c>
      <c r="F1290" s="465">
        <v>44115.511339999997</v>
      </c>
      <c r="G1290" s="465">
        <v>41892.257539999999</v>
      </c>
      <c r="H1290" s="465">
        <v>30583.42254</v>
      </c>
      <c r="I1290" s="466">
        <v>49.89</v>
      </c>
      <c r="J1290" s="466"/>
    </row>
    <row r="1291" spans="1:10" ht="89.25" outlineLevel="3">
      <c r="A1291" s="467" t="s">
        <v>2010</v>
      </c>
      <c r="B1291" s="468" t="s">
        <v>2011</v>
      </c>
      <c r="C1291" s="469"/>
      <c r="D1291" s="468"/>
      <c r="E1291" s="470">
        <v>26920.42254</v>
      </c>
      <c r="F1291" s="470">
        <v>26920.42254</v>
      </c>
      <c r="G1291" s="470">
        <v>26920.42254</v>
      </c>
      <c r="H1291" s="470">
        <v>26920.42254</v>
      </c>
      <c r="I1291" s="471">
        <v>100</v>
      </c>
      <c r="J1291" s="471"/>
    </row>
    <row r="1292" spans="1:10" ht="89.25" outlineLevel="4">
      <c r="A1292" s="472" t="s">
        <v>2010</v>
      </c>
      <c r="B1292" s="473" t="s">
        <v>2011</v>
      </c>
      <c r="C1292" s="474" t="s">
        <v>1817</v>
      </c>
      <c r="D1292" s="473" t="s">
        <v>1818</v>
      </c>
      <c r="E1292" s="475">
        <v>26920.42254</v>
      </c>
      <c r="F1292" s="475">
        <v>26920.42254</v>
      </c>
      <c r="G1292" s="475">
        <v>26920.42254</v>
      </c>
      <c r="H1292" s="475">
        <v>26920.42254</v>
      </c>
      <c r="I1292" s="471">
        <v>100</v>
      </c>
      <c r="J1292" s="476" t="s">
        <v>10</v>
      </c>
    </row>
    <row r="1293" spans="1:10" ht="38.25" outlineLevel="3">
      <c r="A1293" s="467" t="s">
        <v>2012</v>
      </c>
      <c r="B1293" s="468" t="s">
        <v>2013</v>
      </c>
      <c r="C1293" s="469"/>
      <c r="D1293" s="468"/>
      <c r="E1293" s="470">
        <v>34380</v>
      </c>
      <c r="F1293" s="470">
        <v>17195.088800000001</v>
      </c>
      <c r="G1293" s="470">
        <v>14971.834999999999</v>
      </c>
      <c r="H1293" s="470">
        <v>3663</v>
      </c>
      <c r="I1293" s="471">
        <v>10.65</v>
      </c>
      <c r="J1293" s="471"/>
    </row>
    <row r="1294" spans="1:10" ht="38.25" outlineLevel="4">
      <c r="A1294" s="472" t="s">
        <v>2012</v>
      </c>
      <c r="B1294" s="473" t="s">
        <v>2013</v>
      </c>
      <c r="C1294" s="474" t="s">
        <v>1817</v>
      </c>
      <c r="D1294" s="473" t="s">
        <v>1818</v>
      </c>
      <c r="E1294" s="475">
        <v>34380</v>
      </c>
      <c r="F1294" s="475">
        <v>17195.088800000001</v>
      </c>
      <c r="G1294" s="475">
        <v>14971.834999999999</v>
      </c>
      <c r="H1294" s="475">
        <v>3663</v>
      </c>
      <c r="I1294" s="471">
        <v>10.65</v>
      </c>
      <c r="J1294" s="471"/>
    </row>
    <row r="1295" spans="1:10" ht="51" outlineLevel="2">
      <c r="A1295" s="462" t="s">
        <v>2014</v>
      </c>
      <c r="B1295" s="463" t="s">
        <v>2015</v>
      </c>
      <c r="C1295" s="464"/>
      <c r="D1295" s="463"/>
      <c r="E1295" s="465">
        <v>8760</v>
      </c>
      <c r="F1295" s="465">
        <v>2435.8234699999998</v>
      </c>
      <c r="G1295" s="465">
        <v>1335.82347</v>
      </c>
      <c r="H1295" s="465">
        <v>1335.82347</v>
      </c>
      <c r="I1295" s="466">
        <v>15.25</v>
      </c>
      <c r="J1295" s="466"/>
    </row>
    <row r="1296" spans="1:10" ht="76.5" outlineLevel="3">
      <c r="A1296" s="467" t="s">
        <v>717</v>
      </c>
      <c r="B1296" s="468" t="s">
        <v>2016</v>
      </c>
      <c r="C1296" s="469"/>
      <c r="D1296" s="468"/>
      <c r="E1296" s="470">
        <v>1100</v>
      </c>
      <c r="F1296" s="470">
        <v>1100</v>
      </c>
      <c r="G1296" s="470">
        <v>0</v>
      </c>
      <c r="H1296" s="470">
        <v>0</v>
      </c>
      <c r="I1296" s="471">
        <v>0</v>
      </c>
      <c r="J1296" s="471"/>
    </row>
    <row r="1297" spans="1:10" ht="76.5" outlineLevel="4">
      <c r="A1297" s="472" t="s">
        <v>717</v>
      </c>
      <c r="B1297" s="473" t="s">
        <v>2016</v>
      </c>
      <c r="C1297" s="474" t="s">
        <v>1817</v>
      </c>
      <c r="D1297" s="473" t="s">
        <v>1818</v>
      </c>
      <c r="E1297" s="475">
        <v>1100</v>
      </c>
      <c r="F1297" s="475">
        <v>1100</v>
      </c>
      <c r="G1297" s="475">
        <v>0</v>
      </c>
      <c r="H1297" s="475">
        <v>0</v>
      </c>
      <c r="I1297" s="471">
        <v>0</v>
      </c>
      <c r="J1297" s="471"/>
    </row>
    <row r="1298" spans="1:10" ht="51" outlineLevel="3">
      <c r="A1298" s="467" t="s">
        <v>2017</v>
      </c>
      <c r="B1298" s="468" t="s">
        <v>2018</v>
      </c>
      <c r="C1298" s="469"/>
      <c r="D1298" s="468"/>
      <c r="E1298" s="470">
        <v>7660</v>
      </c>
      <c r="F1298" s="470">
        <v>1335.82347</v>
      </c>
      <c r="G1298" s="470">
        <v>1335.82347</v>
      </c>
      <c r="H1298" s="470">
        <v>1335.82347</v>
      </c>
      <c r="I1298" s="471">
        <v>17.440000000000001</v>
      </c>
      <c r="J1298" s="471"/>
    </row>
    <row r="1299" spans="1:10" ht="51" outlineLevel="4">
      <c r="A1299" s="472" t="s">
        <v>2017</v>
      </c>
      <c r="B1299" s="473" t="s">
        <v>2018</v>
      </c>
      <c r="C1299" s="474" t="s">
        <v>1817</v>
      </c>
      <c r="D1299" s="473" t="s">
        <v>1818</v>
      </c>
      <c r="E1299" s="475">
        <v>7660</v>
      </c>
      <c r="F1299" s="475">
        <v>1335.82347</v>
      </c>
      <c r="G1299" s="475">
        <v>1335.82347</v>
      </c>
      <c r="H1299" s="475">
        <v>1335.82347</v>
      </c>
      <c r="I1299" s="471">
        <v>17.440000000000001</v>
      </c>
      <c r="J1299" s="471"/>
    </row>
    <row r="1300" spans="1:10" ht="114.75" outlineLevel="2">
      <c r="A1300" s="462" t="s">
        <v>2019</v>
      </c>
      <c r="B1300" s="463" t="s">
        <v>2020</v>
      </c>
      <c r="C1300" s="464"/>
      <c r="D1300" s="463"/>
      <c r="E1300" s="465">
        <v>2443.7749100000001</v>
      </c>
      <c r="F1300" s="465">
        <v>1822.57491</v>
      </c>
      <c r="G1300" s="465">
        <v>116.313</v>
      </c>
      <c r="H1300" s="465">
        <v>116.313</v>
      </c>
      <c r="I1300" s="466">
        <v>4.76</v>
      </c>
      <c r="J1300" s="466"/>
    </row>
    <row r="1301" spans="1:10" ht="25.5" outlineLevel="3">
      <c r="A1301" s="467" t="s">
        <v>728</v>
      </c>
      <c r="B1301" s="468" t="s">
        <v>2021</v>
      </c>
      <c r="C1301" s="469"/>
      <c r="D1301" s="468"/>
      <c r="E1301" s="470">
        <v>1381.42715</v>
      </c>
      <c r="F1301" s="470">
        <v>1381.42715</v>
      </c>
      <c r="G1301" s="470">
        <v>0</v>
      </c>
      <c r="H1301" s="470">
        <v>0</v>
      </c>
      <c r="I1301" s="471">
        <v>0</v>
      </c>
      <c r="J1301" s="471"/>
    </row>
    <row r="1302" spans="1:10" ht="38.25" outlineLevel="4">
      <c r="A1302" s="472" t="s">
        <v>728</v>
      </c>
      <c r="B1302" s="473" t="s">
        <v>2021</v>
      </c>
      <c r="C1302" s="474" t="s">
        <v>1817</v>
      </c>
      <c r="D1302" s="473" t="s">
        <v>1818</v>
      </c>
      <c r="E1302" s="475">
        <v>1381.42715</v>
      </c>
      <c r="F1302" s="475">
        <v>1381.42715</v>
      </c>
      <c r="G1302" s="475">
        <v>0</v>
      </c>
      <c r="H1302" s="475">
        <v>0</v>
      </c>
      <c r="I1302" s="471">
        <v>0</v>
      </c>
      <c r="J1302" s="471"/>
    </row>
    <row r="1303" spans="1:10" ht="38.25" outlineLevel="3">
      <c r="A1303" s="467" t="s">
        <v>2012</v>
      </c>
      <c r="B1303" s="468" t="s">
        <v>2022</v>
      </c>
      <c r="C1303" s="469"/>
      <c r="D1303" s="468"/>
      <c r="E1303" s="470">
        <v>712.96</v>
      </c>
      <c r="F1303" s="470">
        <v>262.95999999999998</v>
      </c>
      <c r="G1303" s="470">
        <v>116.313</v>
      </c>
      <c r="H1303" s="470">
        <v>116.313</v>
      </c>
      <c r="I1303" s="471">
        <v>16.309999999999999</v>
      </c>
      <c r="J1303" s="471"/>
    </row>
    <row r="1304" spans="1:10" ht="38.25" outlineLevel="4">
      <c r="A1304" s="472" t="s">
        <v>2012</v>
      </c>
      <c r="B1304" s="473" t="s">
        <v>2022</v>
      </c>
      <c r="C1304" s="474" t="s">
        <v>1817</v>
      </c>
      <c r="D1304" s="473" t="s">
        <v>1818</v>
      </c>
      <c r="E1304" s="475">
        <v>450</v>
      </c>
      <c r="F1304" s="475">
        <v>0</v>
      </c>
      <c r="G1304" s="475">
        <v>0</v>
      </c>
      <c r="H1304" s="475">
        <v>0</v>
      </c>
      <c r="I1304" s="471">
        <v>0</v>
      </c>
      <c r="J1304" s="471"/>
    </row>
    <row r="1305" spans="1:10" ht="38.25" outlineLevel="4">
      <c r="A1305" s="472" t="s">
        <v>2012</v>
      </c>
      <c r="B1305" s="473" t="s">
        <v>2022</v>
      </c>
      <c r="C1305" s="474" t="s">
        <v>2023</v>
      </c>
      <c r="D1305" s="473" t="s">
        <v>2024</v>
      </c>
      <c r="E1305" s="475">
        <v>262.95999999999998</v>
      </c>
      <c r="F1305" s="475">
        <v>262.95999999999998</v>
      </c>
      <c r="G1305" s="475">
        <v>116.313</v>
      </c>
      <c r="H1305" s="475">
        <v>116.313</v>
      </c>
      <c r="I1305" s="471">
        <v>44.23</v>
      </c>
      <c r="J1305" s="471"/>
    </row>
    <row r="1306" spans="1:10" ht="38.25" outlineLevel="3">
      <c r="A1306" s="467" t="s">
        <v>2025</v>
      </c>
      <c r="B1306" s="468" t="s">
        <v>2026</v>
      </c>
      <c r="C1306" s="469"/>
      <c r="D1306" s="468"/>
      <c r="E1306" s="470">
        <v>349.38776000000001</v>
      </c>
      <c r="F1306" s="470">
        <v>178.18776</v>
      </c>
      <c r="G1306" s="470">
        <v>0</v>
      </c>
      <c r="H1306" s="470">
        <v>0</v>
      </c>
      <c r="I1306" s="471">
        <v>0</v>
      </c>
      <c r="J1306" s="471"/>
    </row>
    <row r="1307" spans="1:10" ht="38.25" outlineLevel="4">
      <c r="A1307" s="472" t="s">
        <v>2025</v>
      </c>
      <c r="B1307" s="473" t="s">
        <v>2026</v>
      </c>
      <c r="C1307" s="474" t="s">
        <v>1817</v>
      </c>
      <c r="D1307" s="473" t="s">
        <v>1818</v>
      </c>
      <c r="E1307" s="475">
        <v>349.38776000000001</v>
      </c>
      <c r="F1307" s="475">
        <v>178.18776</v>
      </c>
      <c r="G1307" s="475">
        <v>0</v>
      </c>
      <c r="H1307" s="475">
        <v>0</v>
      </c>
      <c r="I1307" s="471">
        <v>0</v>
      </c>
      <c r="J1307" s="471"/>
    </row>
    <row r="1308" spans="1:10" ht="63.75" outlineLevel="2">
      <c r="A1308" s="462" t="s">
        <v>2027</v>
      </c>
      <c r="B1308" s="463" t="s">
        <v>2028</v>
      </c>
      <c r="C1308" s="464"/>
      <c r="D1308" s="463"/>
      <c r="E1308" s="465">
        <v>11995.5</v>
      </c>
      <c r="F1308" s="465">
        <v>11995.5</v>
      </c>
      <c r="G1308" s="465">
        <v>6200</v>
      </c>
      <c r="H1308" s="465">
        <v>6200</v>
      </c>
      <c r="I1308" s="466">
        <v>51.69</v>
      </c>
      <c r="J1308" s="466"/>
    </row>
    <row r="1309" spans="1:10" ht="76.5" outlineLevel="3">
      <c r="A1309" s="467" t="s">
        <v>717</v>
      </c>
      <c r="B1309" s="468" t="s">
        <v>2029</v>
      </c>
      <c r="C1309" s="469"/>
      <c r="D1309" s="468"/>
      <c r="E1309" s="470">
        <v>11920.5</v>
      </c>
      <c r="F1309" s="470">
        <v>11920.5</v>
      </c>
      <c r="G1309" s="470">
        <v>6200</v>
      </c>
      <c r="H1309" s="470">
        <v>6200</v>
      </c>
      <c r="I1309" s="471">
        <v>52.01</v>
      </c>
      <c r="J1309" s="471"/>
    </row>
    <row r="1310" spans="1:10" ht="76.5" outlineLevel="4">
      <c r="A1310" s="472" t="s">
        <v>717</v>
      </c>
      <c r="B1310" s="473" t="s">
        <v>2029</v>
      </c>
      <c r="C1310" s="474" t="s">
        <v>1817</v>
      </c>
      <c r="D1310" s="473" t="s">
        <v>1818</v>
      </c>
      <c r="E1310" s="475">
        <v>11920.5</v>
      </c>
      <c r="F1310" s="475">
        <v>11920.5</v>
      </c>
      <c r="G1310" s="475">
        <v>6200</v>
      </c>
      <c r="H1310" s="475">
        <v>6200</v>
      </c>
      <c r="I1310" s="471">
        <v>52.01</v>
      </c>
      <c r="J1310" s="471"/>
    </row>
    <row r="1311" spans="1:10" ht="25.5" outlineLevel="3">
      <c r="A1311" s="467" t="s">
        <v>728</v>
      </c>
      <c r="B1311" s="468" t="s">
        <v>2030</v>
      </c>
      <c r="C1311" s="469"/>
      <c r="D1311" s="468"/>
      <c r="E1311" s="470">
        <v>75</v>
      </c>
      <c r="F1311" s="470">
        <v>75</v>
      </c>
      <c r="G1311" s="470">
        <v>0</v>
      </c>
      <c r="H1311" s="470">
        <v>0</v>
      </c>
      <c r="I1311" s="471">
        <v>0</v>
      </c>
      <c r="J1311" s="471"/>
    </row>
    <row r="1312" spans="1:10" ht="38.25" outlineLevel="4">
      <c r="A1312" s="472" t="s">
        <v>728</v>
      </c>
      <c r="B1312" s="473" t="s">
        <v>2030</v>
      </c>
      <c r="C1312" s="474" t="s">
        <v>1817</v>
      </c>
      <c r="D1312" s="473" t="s">
        <v>1818</v>
      </c>
      <c r="E1312" s="475">
        <v>75</v>
      </c>
      <c r="F1312" s="475">
        <v>75</v>
      </c>
      <c r="G1312" s="475">
        <v>0</v>
      </c>
      <c r="H1312" s="475">
        <v>0</v>
      </c>
      <c r="I1312" s="471">
        <v>0</v>
      </c>
      <c r="J1312" s="471"/>
    </row>
    <row r="1313" spans="1:10" ht="63.75" outlineLevel="2">
      <c r="A1313" s="462" t="s">
        <v>2031</v>
      </c>
      <c r="B1313" s="463" t="s">
        <v>2032</v>
      </c>
      <c r="C1313" s="464"/>
      <c r="D1313" s="463"/>
      <c r="E1313" s="465">
        <v>151462.44680999999</v>
      </c>
      <c r="F1313" s="465">
        <v>151462.44680999999</v>
      </c>
      <c r="G1313" s="465">
        <v>151462.44680999999</v>
      </c>
      <c r="H1313" s="465">
        <v>151462.44680999999</v>
      </c>
      <c r="I1313" s="466">
        <v>100</v>
      </c>
      <c r="J1313" s="466"/>
    </row>
    <row r="1314" spans="1:10" ht="76.5" outlineLevel="3">
      <c r="A1314" s="467" t="s">
        <v>2033</v>
      </c>
      <c r="B1314" s="468" t="s">
        <v>2034</v>
      </c>
      <c r="C1314" s="469"/>
      <c r="D1314" s="468"/>
      <c r="E1314" s="470">
        <v>5166.0638300000001</v>
      </c>
      <c r="F1314" s="470">
        <v>5166.0638300000001</v>
      </c>
      <c r="G1314" s="470">
        <v>5166.0638300000001</v>
      </c>
      <c r="H1314" s="470">
        <v>5166.0638300000001</v>
      </c>
      <c r="I1314" s="471">
        <v>100</v>
      </c>
      <c r="J1314" s="471"/>
    </row>
    <row r="1315" spans="1:10" ht="76.5" outlineLevel="4">
      <c r="A1315" s="472" t="s">
        <v>2033</v>
      </c>
      <c r="B1315" s="473" t="s">
        <v>2034</v>
      </c>
      <c r="C1315" s="474" t="s">
        <v>1817</v>
      </c>
      <c r="D1315" s="473" t="s">
        <v>1818</v>
      </c>
      <c r="E1315" s="475">
        <v>5166.0638300000001</v>
      </c>
      <c r="F1315" s="475">
        <v>5166.0638300000001</v>
      </c>
      <c r="G1315" s="475">
        <v>5166.0638300000001</v>
      </c>
      <c r="H1315" s="475">
        <v>5166.0638300000001</v>
      </c>
      <c r="I1315" s="471">
        <v>100</v>
      </c>
      <c r="J1315" s="476" t="s">
        <v>10</v>
      </c>
    </row>
    <row r="1316" spans="1:10" ht="38.25" outlineLevel="3">
      <c r="A1316" s="467" t="s">
        <v>2035</v>
      </c>
      <c r="B1316" s="468" t="s">
        <v>2036</v>
      </c>
      <c r="C1316" s="469"/>
      <c r="D1316" s="468"/>
      <c r="E1316" s="470">
        <v>146296.38297999999</v>
      </c>
      <c r="F1316" s="470">
        <v>146296.38297999999</v>
      </c>
      <c r="G1316" s="470">
        <v>146296.38297999999</v>
      </c>
      <c r="H1316" s="470">
        <v>146296.38297999999</v>
      </c>
      <c r="I1316" s="471">
        <v>100</v>
      </c>
      <c r="J1316" s="471"/>
    </row>
    <row r="1317" spans="1:10" ht="38.25" outlineLevel="4">
      <c r="A1317" s="472" t="s">
        <v>2035</v>
      </c>
      <c r="B1317" s="473" t="s">
        <v>2036</v>
      </c>
      <c r="C1317" s="474" t="s">
        <v>1817</v>
      </c>
      <c r="D1317" s="473" t="s">
        <v>1818</v>
      </c>
      <c r="E1317" s="475">
        <v>146296.38297999999</v>
      </c>
      <c r="F1317" s="475">
        <v>146296.38297999999</v>
      </c>
      <c r="G1317" s="475">
        <v>146296.38297999999</v>
      </c>
      <c r="H1317" s="475">
        <v>146296.38297999999</v>
      </c>
      <c r="I1317" s="471">
        <v>100</v>
      </c>
      <c r="J1317" s="476" t="s">
        <v>10</v>
      </c>
    </row>
    <row r="1318" spans="1:10" ht="38.25" outlineLevel="2">
      <c r="A1318" s="462" t="s">
        <v>2037</v>
      </c>
      <c r="B1318" s="463" t="s">
        <v>2038</v>
      </c>
      <c r="C1318" s="464"/>
      <c r="D1318" s="463"/>
      <c r="E1318" s="465">
        <v>141899.50644999999</v>
      </c>
      <c r="F1318" s="465">
        <v>141899.50644999999</v>
      </c>
      <c r="G1318" s="465">
        <v>107771.5818</v>
      </c>
      <c r="H1318" s="465">
        <v>107771.5818</v>
      </c>
      <c r="I1318" s="466">
        <v>75.95</v>
      </c>
      <c r="J1318" s="466"/>
    </row>
    <row r="1319" spans="1:10" ht="76.5" outlineLevel="3">
      <c r="A1319" s="467" t="s">
        <v>2033</v>
      </c>
      <c r="B1319" s="468" t="s">
        <v>2039</v>
      </c>
      <c r="C1319" s="469"/>
      <c r="D1319" s="468"/>
      <c r="E1319" s="470">
        <v>141899.50644999999</v>
      </c>
      <c r="F1319" s="470">
        <v>141899.50644999999</v>
      </c>
      <c r="G1319" s="470">
        <v>107771.5818</v>
      </c>
      <c r="H1319" s="470">
        <v>107771.5818</v>
      </c>
      <c r="I1319" s="471">
        <v>75.95</v>
      </c>
      <c r="J1319" s="471"/>
    </row>
    <row r="1320" spans="1:10" ht="76.5" outlineLevel="4">
      <c r="A1320" s="472" t="s">
        <v>2033</v>
      </c>
      <c r="B1320" s="473" t="s">
        <v>2039</v>
      </c>
      <c r="C1320" s="474" t="s">
        <v>1817</v>
      </c>
      <c r="D1320" s="473" t="s">
        <v>1818</v>
      </c>
      <c r="E1320" s="475">
        <v>95222.995450000002</v>
      </c>
      <c r="F1320" s="475">
        <v>95222.995450000002</v>
      </c>
      <c r="G1320" s="475">
        <v>90967.676300000006</v>
      </c>
      <c r="H1320" s="475">
        <v>90967.676300000006</v>
      </c>
      <c r="I1320" s="471">
        <v>95.53</v>
      </c>
      <c r="J1320" s="476" t="s">
        <v>10</v>
      </c>
    </row>
    <row r="1321" spans="1:10" ht="76.5" outlineLevel="4">
      <c r="A1321" s="472" t="s">
        <v>2033</v>
      </c>
      <c r="B1321" s="473" t="s">
        <v>2039</v>
      </c>
      <c r="C1321" s="474" t="s">
        <v>2040</v>
      </c>
      <c r="D1321" s="473" t="s">
        <v>2041</v>
      </c>
      <c r="E1321" s="475">
        <v>46676.510999999999</v>
      </c>
      <c r="F1321" s="475">
        <v>46676.510999999999</v>
      </c>
      <c r="G1321" s="475">
        <v>16803.905500000001</v>
      </c>
      <c r="H1321" s="475">
        <v>16803.905500000001</v>
      </c>
      <c r="I1321" s="471">
        <v>36</v>
      </c>
      <c r="J1321" s="476" t="s">
        <v>10</v>
      </c>
    </row>
    <row r="1322" spans="1:10" ht="25.5" outlineLevel="2">
      <c r="A1322" s="462" t="s">
        <v>2042</v>
      </c>
      <c r="B1322" s="463" t="s">
        <v>2043</v>
      </c>
      <c r="C1322" s="464"/>
      <c r="D1322" s="463"/>
      <c r="E1322" s="465">
        <v>6785.9574499999999</v>
      </c>
      <c r="F1322" s="465">
        <v>6785.9574499999999</v>
      </c>
      <c r="G1322" s="465">
        <v>6785.9574499999999</v>
      </c>
      <c r="H1322" s="465">
        <v>6785.9574499999999</v>
      </c>
      <c r="I1322" s="466">
        <v>100</v>
      </c>
      <c r="J1322" s="466"/>
    </row>
    <row r="1323" spans="1:10" ht="76.5" outlineLevel="3">
      <c r="A1323" s="467" t="s">
        <v>2033</v>
      </c>
      <c r="B1323" s="468" t="s">
        <v>2044</v>
      </c>
      <c r="C1323" s="469"/>
      <c r="D1323" s="468"/>
      <c r="E1323" s="470">
        <v>6785.9574499999999</v>
      </c>
      <c r="F1323" s="470">
        <v>6785.9574499999999</v>
      </c>
      <c r="G1323" s="470">
        <v>6785.9574499999999</v>
      </c>
      <c r="H1323" s="470">
        <v>6785.9574499999999</v>
      </c>
      <c r="I1323" s="471">
        <v>100</v>
      </c>
      <c r="J1323" s="471"/>
    </row>
    <row r="1324" spans="1:10" ht="76.5" outlineLevel="4">
      <c r="A1324" s="472" t="s">
        <v>2033</v>
      </c>
      <c r="B1324" s="473" t="s">
        <v>2044</v>
      </c>
      <c r="C1324" s="474" t="s">
        <v>1817</v>
      </c>
      <c r="D1324" s="473" t="s">
        <v>1818</v>
      </c>
      <c r="E1324" s="475">
        <v>6785.9574499999999</v>
      </c>
      <c r="F1324" s="475">
        <v>6785.9574499999999</v>
      </c>
      <c r="G1324" s="475">
        <v>6785.9574499999999</v>
      </c>
      <c r="H1324" s="475">
        <v>6785.9574499999999</v>
      </c>
      <c r="I1324" s="471">
        <v>100</v>
      </c>
      <c r="J1324" s="476" t="s">
        <v>10</v>
      </c>
    </row>
    <row r="1325" spans="1:10" ht="38.25" outlineLevel="1">
      <c r="A1325" s="457" t="s">
        <v>2045</v>
      </c>
      <c r="B1325" s="458" t="s">
        <v>2046</v>
      </c>
      <c r="C1325" s="459"/>
      <c r="D1325" s="458"/>
      <c r="E1325" s="460">
        <v>131875.60024</v>
      </c>
      <c r="F1325" s="460">
        <v>1314.2</v>
      </c>
      <c r="G1325" s="460">
        <v>1005.263</v>
      </c>
      <c r="H1325" s="460">
        <v>1005.263</v>
      </c>
      <c r="I1325" s="461">
        <v>0.76</v>
      </c>
      <c r="J1325" s="461"/>
    </row>
    <row r="1326" spans="1:10" ht="38.25" outlineLevel="2">
      <c r="A1326" s="462" t="s">
        <v>2047</v>
      </c>
      <c r="B1326" s="463" t="s">
        <v>2048</v>
      </c>
      <c r="C1326" s="464"/>
      <c r="D1326" s="463"/>
      <c r="E1326" s="465">
        <v>1000</v>
      </c>
      <c r="F1326" s="465">
        <v>1000</v>
      </c>
      <c r="G1326" s="465">
        <v>1000</v>
      </c>
      <c r="H1326" s="465">
        <v>1000</v>
      </c>
      <c r="I1326" s="466">
        <v>100</v>
      </c>
      <c r="J1326" s="466"/>
    </row>
    <row r="1327" spans="1:10" ht="38.25" outlineLevel="3">
      <c r="A1327" s="467" t="s">
        <v>2012</v>
      </c>
      <c r="B1327" s="468" t="s">
        <v>2049</v>
      </c>
      <c r="C1327" s="469"/>
      <c r="D1327" s="468"/>
      <c r="E1327" s="470">
        <v>1000</v>
      </c>
      <c r="F1327" s="470">
        <v>1000</v>
      </c>
      <c r="G1327" s="470">
        <v>1000</v>
      </c>
      <c r="H1327" s="470">
        <v>1000</v>
      </c>
      <c r="I1327" s="471">
        <v>100</v>
      </c>
      <c r="J1327" s="471"/>
    </row>
    <row r="1328" spans="1:10" ht="38.25" outlineLevel="4">
      <c r="A1328" s="472" t="s">
        <v>2012</v>
      </c>
      <c r="B1328" s="473" t="s">
        <v>2049</v>
      </c>
      <c r="C1328" s="474" t="s">
        <v>1817</v>
      </c>
      <c r="D1328" s="473" t="s">
        <v>1818</v>
      </c>
      <c r="E1328" s="475">
        <v>1000</v>
      </c>
      <c r="F1328" s="475">
        <v>1000</v>
      </c>
      <c r="G1328" s="475">
        <v>1000</v>
      </c>
      <c r="H1328" s="475">
        <v>1000</v>
      </c>
      <c r="I1328" s="471">
        <v>100</v>
      </c>
      <c r="J1328" s="471"/>
    </row>
    <row r="1329" spans="1:10" ht="51" outlineLevel="2">
      <c r="A1329" s="462" t="s">
        <v>2050</v>
      </c>
      <c r="B1329" s="463" t="s">
        <v>2051</v>
      </c>
      <c r="C1329" s="464"/>
      <c r="D1329" s="463"/>
      <c r="E1329" s="465">
        <v>130875.60024</v>
      </c>
      <c r="F1329" s="465">
        <v>314.2</v>
      </c>
      <c r="G1329" s="465">
        <v>5.2629999999999999</v>
      </c>
      <c r="H1329" s="465">
        <v>5.2629999999999999</v>
      </c>
      <c r="I1329" s="466">
        <v>0</v>
      </c>
      <c r="J1329" s="466"/>
    </row>
    <row r="1330" spans="1:10" ht="25.5" outlineLevel="3">
      <c r="A1330" s="467" t="s">
        <v>728</v>
      </c>
      <c r="B1330" s="468" t="s">
        <v>2052</v>
      </c>
      <c r="C1330" s="469"/>
      <c r="D1330" s="468"/>
      <c r="E1330" s="470">
        <v>21861.06</v>
      </c>
      <c r="F1330" s="470">
        <v>314.2</v>
      </c>
      <c r="G1330" s="470">
        <v>5.2629999999999999</v>
      </c>
      <c r="H1330" s="470">
        <v>5.2629999999999999</v>
      </c>
      <c r="I1330" s="471">
        <v>0.02</v>
      </c>
      <c r="J1330" s="471"/>
    </row>
    <row r="1331" spans="1:10" ht="25.5" outlineLevel="4">
      <c r="A1331" s="472" t="s">
        <v>728</v>
      </c>
      <c r="B1331" s="473" t="s">
        <v>2052</v>
      </c>
      <c r="C1331" s="474" t="s">
        <v>726</v>
      </c>
      <c r="D1331" s="473" t="s">
        <v>727</v>
      </c>
      <c r="E1331" s="475">
        <v>21861.06</v>
      </c>
      <c r="F1331" s="475">
        <v>314.2</v>
      </c>
      <c r="G1331" s="475">
        <v>5.2629999999999999</v>
      </c>
      <c r="H1331" s="475">
        <v>5.2629999999999999</v>
      </c>
      <c r="I1331" s="471">
        <v>0.02</v>
      </c>
      <c r="J1331" s="471"/>
    </row>
    <row r="1332" spans="1:10" ht="51" outlineLevel="3">
      <c r="A1332" s="467" t="s">
        <v>2053</v>
      </c>
      <c r="B1332" s="468" t="s">
        <v>2054</v>
      </c>
      <c r="C1332" s="469"/>
      <c r="D1332" s="468"/>
      <c r="E1332" s="470">
        <v>109014.54024</v>
      </c>
      <c r="F1332" s="470">
        <v>0</v>
      </c>
      <c r="G1332" s="470">
        <v>0</v>
      </c>
      <c r="H1332" s="470">
        <v>0</v>
      </c>
      <c r="I1332" s="471">
        <v>0</v>
      </c>
      <c r="J1332" s="471"/>
    </row>
    <row r="1333" spans="1:10" ht="51" outlineLevel="4">
      <c r="A1333" s="472" t="s">
        <v>2053</v>
      </c>
      <c r="B1333" s="473" t="s">
        <v>2054</v>
      </c>
      <c r="C1333" s="474" t="s">
        <v>726</v>
      </c>
      <c r="D1333" s="473" t="s">
        <v>727</v>
      </c>
      <c r="E1333" s="475">
        <v>109014.54024</v>
      </c>
      <c r="F1333" s="475">
        <v>0</v>
      </c>
      <c r="G1333" s="475">
        <v>0</v>
      </c>
      <c r="H1333" s="475">
        <v>0</v>
      </c>
      <c r="I1333" s="471">
        <v>0</v>
      </c>
      <c r="J1333" s="471"/>
    </row>
    <row r="1334" spans="1:10" ht="38.25" outlineLevel="1">
      <c r="A1334" s="457" t="s">
        <v>2055</v>
      </c>
      <c r="B1334" s="458" t="s">
        <v>2056</v>
      </c>
      <c r="C1334" s="459"/>
      <c r="D1334" s="458"/>
      <c r="E1334" s="460">
        <v>238525.40309000001</v>
      </c>
      <c r="F1334" s="460">
        <v>208971.76673</v>
      </c>
      <c r="G1334" s="460">
        <v>35077.083169999998</v>
      </c>
      <c r="H1334" s="460">
        <v>32427.108950000002</v>
      </c>
      <c r="I1334" s="461">
        <v>13.59</v>
      </c>
      <c r="J1334" s="461"/>
    </row>
    <row r="1335" spans="1:10" ht="114.75" outlineLevel="2">
      <c r="A1335" s="462" t="s">
        <v>2057</v>
      </c>
      <c r="B1335" s="463" t="s">
        <v>2058</v>
      </c>
      <c r="C1335" s="464"/>
      <c r="D1335" s="463"/>
      <c r="E1335" s="465">
        <v>43744.2</v>
      </c>
      <c r="F1335" s="465">
        <v>31009.200000000001</v>
      </c>
      <c r="G1335" s="465">
        <v>20455.00533</v>
      </c>
      <c r="H1335" s="465">
        <v>20455.00533</v>
      </c>
      <c r="I1335" s="466">
        <v>46.76</v>
      </c>
      <c r="J1335" s="466"/>
    </row>
    <row r="1336" spans="1:10" ht="25.5" outlineLevel="3">
      <c r="A1336" s="467" t="s">
        <v>728</v>
      </c>
      <c r="B1336" s="468" t="s">
        <v>2059</v>
      </c>
      <c r="C1336" s="469"/>
      <c r="D1336" s="468"/>
      <c r="E1336" s="470">
        <v>2014.2</v>
      </c>
      <c r="F1336" s="470">
        <v>2014.2</v>
      </c>
      <c r="G1336" s="470">
        <v>0</v>
      </c>
      <c r="H1336" s="470">
        <v>0</v>
      </c>
      <c r="I1336" s="471">
        <v>0</v>
      </c>
      <c r="J1336" s="471"/>
    </row>
    <row r="1337" spans="1:10" ht="25.5" outlineLevel="4">
      <c r="A1337" s="472" t="s">
        <v>728</v>
      </c>
      <c r="B1337" s="473" t="s">
        <v>2059</v>
      </c>
      <c r="C1337" s="474" t="s">
        <v>2040</v>
      </c>
      <c r="D1337" s="473" t="s">
        <v>2041</v>
      </c>
      <c r="E1337" s="475">
        <v>2014.2</v>
      </c>
      <c r="F1337" s="475">
        <v>2014.2</v>
      </c>
      <c r="G1337" s="475">
        <v>0</v>
      </c>
      <c r="H1337" s="475">
        <v>0</v>
      </c>
      <c r="I1337" s="471">
        <v>0</v>
      </c>
      <c r="J1337" s="471"/>
    </row>
    <row r="1338" spans="1:10" ht="51" outlineLevel="3">
      <c r="A1338" s="467" t="s">
        <v>2017</v>
      </c>
      <c r="B1338" s="468" t="s">
        <v>2060</v>
      </c>
      <c r="C1338" s="469"/>
      <c r="D1338" s="468"/>
      <c r="E1338" s="470">
        <v>41730</v>
      </c>
      <c r="F1338" s="470">
        <v>28995</v>
      </c>
      <c r="G1338" s="470">
        <v>20455.00533</v>
      </c>
      <c r="H1338" s="470">
        <v>20455.00533</v>
      </c>
      <c r="I1338" s="471">
        <v>49.02</v>
      </c>
      <c r="J1338" s="471"/>
    </row>
    <row r="1339" spans="1:10" ht="51" outlineLevel="4">
      <c r="A1339" s="472" t="s">
        <v>2017</v>
      </c>
      <c r="B1339" s="473" t="s">
        <v>2060</v>
      </c>
      <c r="C1339" s="474" t="s">
        <v>911</v>
      </c>
      <c r="D1339" s="473" t="s">
        <v>912</v>
      </c>
      <c r="E1339" s="475">
        <v>20000</v>
      </c>
      <c r="F1339" s="475">
        <v>20000</v>
      </c>
      <c r="G1339" s="475">
        <v>20000</v>
      </c>
      <c r="H1339" s="475">
        <v>20000</v>
      </c>
      <c r="I1339" s="471">
        <v>100</v>
      </c>
      <c r="J1339" s="471"/>
    </row>
    <row r="1340" spans="1:10" ht="51" outlineLevel="4">
      <c r="A1340" s="472" t="s">
        <v>2017</v>
      </c>
      <c r="B1340" s="473" t="s">
        <v>2060</v>
      </c>
      <c r="C1340" s="474" t="s">
        <v>2040</v>
      </c>
      <c r="D1340" s="473" t="s">
        <v>2041</v>
      </c>
      <c r="E1340" s="475">
        <v>21730</v>
      </c>
      <c r="F1340" s="475">
        <v>8995</v>
      </c>
      <c r="G1340" s="475">
        <v>455.00533000000001</v>
      </c>
      <c r="H1340" s="475">
        <v>455.00533000000001</v>
      </c>
      <c r="I1340" s="471">
        <v>2.09</v>
      </c>
      <c r="J1340" s="471"/>
    </row>
    <row r="1341" spans="1:10" ht="38.25" outlineLevel="2">
      <c r="A1341" s="462" t="s">
        <v>2061</v>
      </c>
      <c r="B1341" s="463" t="s">
        <v>2062</v>
      </c>
      <c r="C1341" s="464"/>
      <c r="D1341" s="463"/>
      <c r="E1341" s="465">
        <v>2810.4</v>
      </c>
      <c r="F1341" s="465">
        <v>0</v>
      </c>
      <c r="G1341" s="465">
        <v>0</v>
      </c>
      <c r="H1341" s="465">
        <v>0</v>
      </c>
      <c r="I1341" s="466">
        <v>0</v>
      </c>
      <c r="J1341" s="466"/>
    </row>
    <row r="1342" spans="1:10" ht="25.5" outlineLevel="3">
      <c r="A1342" s="467" t="s">
        <v>728</v>
      </c>
      <c r="B1342" s="468" t="s">
        <v>2063</v>
      </c>
      <c r="C1342" s="469"/>
      <c r="D1342" s="468"/>
      <c r="E1342" s="470">
        <v>810.4</v>
      </c>
      <c r="F1342" s="470">
        <v>0</v>
      </c>
      <c r="G1342" s="470">
        <v>0</v>
      </c>
      <c r="H1342" s="470">
        <v>0</v>
      </c>
      <c r="I1342" s="471">
        <v>0</v>
      </c>
      <c r="J1342" s="471"/>
    </row>
    <row r="1343" spans="1:10" ht="25.5" outlineLevel="4">
      <c r="A1343" s="472" t="s">
        <v>728</v>
      </c>
      <c r="B1343" s="473" t="s">
        <v>2063</v>
      </c>
      <c r="C1343" s="474" t="s">
        <v>2064</v>
      </c>
      <c r="D1343" s="473" t="s">
        <v>2065</v>
      </c>
      <c r="E1343" s="475">
        <v>810.4</v>
      </c>
      <c r="F1343" s="475">
        <v>0</v>
      </c>
      <c r="G1343" s="475">
        <v>0</v>
      </c>
      <c r="H1343" s="475">
        <v>0</v>
      </c>
      <c r="I1343" s="471">
        <v>0</v>
      </c>
      <c r="J1343" s="471"/>
    </row>
    <row r="1344" spans="1:10" ht="51" outlineLevel="3">
      <c r="A1344" s="467" t="s">
        <v>2017</v>
      </c>
      <c r="B1344" s="468" t="s">
        <v>2066</v>
      </c>
      <c r="C1344" s="469"/>
      <c r="D1344" s="468"/>
      <c r="E1344" s="470">
        <v>2000</v>
      </c>
      <c r="F1344" s="470">
        <v>0</v>
      </c>
      <c r="G1344" s="470">
        <v>0</v>
      </c>
      <c r="H1344" s="470">
        <v>0</v>
      </c>
      <c r="I1344" s="471">
        <v>0</v>
      </c>
      <c r="J1344" s="471"/>
    </row>
    <row r="1345" spans="1:10" ht="51" outlineLevel="4">
      <c r="A1345" s="472" t="s">
        <v>2017</v>
      </c>
      <c r="B1345" s="473" t="s">
        <v>2066</v>
      </c>
      <c r="C1345" s="474" t="s">
        <v>2064</v>
      </c>
      <c r="D1345" s="473" t="s">
        <v>2065</v>
      </c>
      <c r="E1345" s="475">
        <v>2000</v>
      </c>
      <c r="F1345" s="475">
        <v>0</v>
      </c>
      <c r="G1345" s="475">
        <v>0</v>
      </c>
      <c r="H1345" s="475">
        <v>0</v>
      </c>
      <c r="I1345" s="471">
        <v>0</v>
      </c>
      <c r="J1345" s="471"/>
    </row>
    <row r="1346" spans="1:10" ht="38.25" outlineLevel="2">
      <c r="A1346" s="462" t="s">
        <v>2067</v>
      </c>
      <c r="B1346" s="463" t="s">
        <v>2068</v>
      </c>
      <c r="C1346" s="464"/>
      <c r="D1346" s="463"/>
      <c r="E1346" s="465">
        <v>23000.342079999999</v>
      </c>
      <c r="F1346" s="465">
        <v>8992.1057199999996</v>
      </c>
      <c r="G1346" s="465">
        <v>8992.1057199999996</v>
      </c>
      <c r="H1346" s="465">
        <v>6901.1350499999999</v>
      </c>
      <c r="I1346" s="466">
        <v>30</v>
      </c>
      <c r="J1346" s="466"/>
    </row>
    <row r="1347" spans="1:10" ht="25.5" outlineLevel="3">
      <c r="A1347" s="467" t="s">
        <v>728</v>
      </c>
      <c r="B1347" s="468" t="s">
        <v>2069</v>
      </c>
      <c r="C1347" s="469"/>
      <c r="D1347" s="468"/>
      <c r="E1347" s="470">
        <v>13000.34208</v>
      </c>
      <c r="F1347" s="470">
        <v>8992.1057199999996</v>
      </c>
      <c r="G1347" s="470">
        <v>8992.1057199999996</v>
      </c>
      <c r="H1347" s="470">
        <v>6901.1350499999999</v>
      </c>
      <c r="I1347" s="471">
        <v>53.08</v>
      </c>
      <c r="J1347" s="471"/>
    </row>
    <row r="1348" spans="1:10" ht="25.5" outlineLevel="4">
      <c r="A1348" s="472" t="s">
        <v>728</v>
      </c>
      <c r="B1348" s="473" t="s">
        <v>2069</v>
      </c>
      <c r="C1348" s="474" t="s">
        <v>2064</v>
      </c>
      <c r="D1348" s="473" t="s">
        <v>2065</v>
      </c>
      <c r="E1348" s="475">
        <v>13000.34208</v>
      </c>
      <c r="F1348" s="475">
        <v>8992.1057199999996</v>
      </c>
      <c r="G1348" s="475">
        <v>8992.1057199999996</v>
      </c>
      <c r="H1348" s="475">
        <v>6901.1350499999999</v>
      </c>
      <c r="I1348" s="471">
        <v>53.08</v>
      </c>
      <c r="J1348" s="471"/>
    </row>
    <row r="1349" spans="1:10" ht="25.5" outlineLevel="3">
      <c r="A1349" s="467" t="s">
        <v>2070</v>
      </c>
      <c r="B1349" s="468" t="s">
        <v>2071</v>
      </c>
      <c r="C1349" s="469"/>
      <c r="D1349" s="468"/>
      <c r="E1349" s="470">
        <v>10000</v>
      </c>
      <c r="F1349" s="470">
        <v>0</v>
      </c>
      <c r="G1349" s="470">
        <v>0</v>
      </c>
      <c r="H1349" s="470">
        <v>0</v>
      </c>
      <c r="I1349" s="471">
        <v>0</v>
      </c>
      <c r="J1349" s="471"/>
    </row>
    <row r="1350" spans="1:10" ht="25.5" outlineLevel="4">
      <c r="A1350" s="472" t="s">
        <v>2070</v>
      </c>
      <c r="B1350" s="473" t="s">
        <v>2071</v>
      </c>
      <c r="C1350" s="474" t="s">
        <v>2064</v>
      </c>
      <c r="D1350" s="473" t="s">
        <v>2065</v>
      </c>
      <c r="E1350" s="475">
        <v>10000</v>
      </c>
      <c r="F1350" s="475">
        <v>0</v>
      </c>
      <c r="G1350" s="475">
        <v>0</v>
      </c>
      <c r="H1350" s="475">
        <v>0</v>
      </c>
      <c r="I1350" s="471">
        <v>0</v>
      </c>
      <c r="J1350" s="471"/>
    </row>
    <row r="1351" spans="1:10" ht="38.25" outlineLevel="2">
      <c r="A1351" s="462" t="s">
        <v>2072</v>
      </c>
      <c r="B1351" s="463" t="s">
        <v>2073</v>
      </c>
      <c r="C1351" s="464"/>
      <c r="D1351" s="463"/>
      <c r="E1351" s="465">
        <v>168182.80601</v>
      </c>
      <c r="F1351" s="465">
        <v>168182.80601</v>
      </c>
      <c r="G1351" s="465">
        <v>4847.9731199999997</v>
      </c>
      <c r="H1351" s="465">
        <v>4847.9731199999997</v>
      </c>
      <c r="I1351" s="466">
        <v>2.88</v>
      </c>
      <c r="J1351" s="466"/>
    </row>
    <row r="1352" spans="1:10" ht="38.25" outlineLevel="3">
      <c r="A1352" s="467" t="s">
        <v>997</v>
      </c>
      <c r="B1352" s="468" t="s">
        <v>2074</v>
      </c>
      <c r="C1352" s="469"/>
      <c r="D1352" s="468"/>
      <c r="E1352" s="470">
        <v>3501</v>
      </c>
      <c r="F1352" s="470">
        <v>3501</v>
      </c>
      <c r="G1352" s="470">
        <v>0</v>
      </c>
      <c r="H1352" s="470">
        <v>0</v>
      </c>
      <c r="I1352" s="471">
        <v>0</v>
      </c>
      <c r="J1352" s="471"/>
    </row>
    <row r="1353" spans="1:10" ht="38.25" outlineLevel="4">
      <c r="A1353" s="472" t="s">
        <v>997</v>
      </c>
      <c r="B1353" s="473" t="s">
        <v>2074</v>
      </c>
      <c r="C1353" s="474" t="s">
        <v>818</v>
      </c>
      <c r="D1353" s="473" t="s">
        <v>819</v>
      </c>
      <c r="E1353" s="475">
        <v>3501</v>
      </c>
      <c r="F1353" s="475">
        <v>3501</v>
      </c>
      <c r="G1353" s="475">
        <v>0</v>
      </c>
      <c r="H1353" s="475">
        <v>0</v>
      </c>
      <c r="I1353" s="471">
        <v>0</v>
      </c>
      <c r="J1353" s="471"/>
    </row>
    <row r="1354" spans="1:10" ht="89.25" outlineLevel="3">
      <c r="A1354" s="467" t="s">
        <v>2075</v>
      </c>
      <c r="B1354" s="468" t="s">
        <v>2076</v>
      </c>
      <c r="C1354" s="469"/>
      <c r="D1354" s="468"/>
      <c r="E1354" s="470">
        <v>164681.80601</v>
      </c>
      <c r="F1354" s="470">
        <v>164681.80601</v>
      </c>
      <c r="G1354" s="470">
        <v>4847.9731199999997</v>
      </c>
      <c r="H1354" s="470">
        <v>4847.9731199999997</v>
      </c>
      <c r="I1354" s="471">
        <v>2.94</v>
      </c>
      <c r="J1354" s="471"/>
    </row>
    <row r="1355" spans="1:10" ht="89.25" outlineLevel="4">
      <c r="A1355" s="472" t="s">
        <v>2075</v>
      </c>
      <c r="B1355" s="473" t="s">
        <v>2076</v>
      </c>
      <c r="C1355" s="474" t="s">
        <v>818</v>
      </c>
      <c r="D1355" s="473" t="s">
        <v>819</v>
      </c>
      <c r="E1355" s="475">
        <v>164681.80601</v>
      </c>
      <c r="F1355" s="475">
        <v>164681.80601</v>
      </c>
      <c r="G1355" s="475">
        <v>4847.9731199999997</v>
      </c>
      <c r="H1355" s="475">
        <v>4847.9731199999997</v>
      </c>
      <c r="I1355" s="471">
        <v>2.94</v>
      </c>
      <c r="J1355" s="471"/>
    </row>
    <row r="1356" spans="1:10" ht="38.25" outlineLevel="2">
      <c r="A1356" s="462" t="s">
        <v>2077</v>
      </c>
      <c r="B1356" s="463" t="s">
        <v>2078</v>
      </c>
      <c r="C1356" s="464"/>
      <c r="D1356" s="463"/>
      <c r="E1356" s="465">
        <v>787.65499999999997</v>
      </c>
      <c r="F1356" s="465">
        <v>787.65499999999997</v>
      </c>
      <c r="G1356" s="465">
        <v>781.99900000000002</v>
      </c>
      <c r="H1356" s="465">
        <v>222.99545000000001</v>
      </c>
      <c r="I1356" s="466">
        <v>28.31</v>
      </c>
      <c r="J1356" s="466"/>
    </row>
    <row r="1357" spans="1:10" ht="102" outlineLevel="3">
      <c r="A1357" s="467" t="s">
        <v>2079</v>
      </c>
      <c r="B1357" s="468" t="s">
        <v>2080</v>
      </c>
      <c r="C1357" s="469"/>
      <c r="D1357" s="468"/>
      <c r="E1357" s="470">
        <v>787.65499999999997</v>
      </c>
      <c r="F1357" s="470">
        <v>787.65499999999997</v>
      </c>
      <c r="G1357" s="470">
        <v>781.99900000000002</v>
      </c>
      <c r="H1357" s="470">
        <v>222.99545000000001</v>
      </c>
      <c r="I1357" s="471">
        <v>28.31</v>
      </c>
      <c r="J1357" s="471"/>
    </row>
    <row r="1358" spans="1:10" ht="102" outlineLevel="4">
      <c r="A1358" s="472" t="s">
        <v>2079</v>
      </c>
      <c r="B1358" s="473" t="s">
        <v>2080</v>
      </c>
      <c r="C1358" s="474" t="s">
        <v>2040</v>
      </c>
      <c r="D1358" s="473" t="s">
        <v>2041</v>
      </c>
      <c r="E1358" s="475">
        <v>787.65499999999997</v>
      </c>
      <c r="F1358" s="475">
        <v>787.65499999999997</v>
      </c>
      <c r="G1358" s="475">
        <v>781.99900000000002</v>
      </c>
      <c r="H1358" s="475">
        <v>222.99545000000001</v>
      </c>
      <c r="I1358" s="471">
        <v>28.31</v>
      </c>
      <c r="J1358" s="471"/>
    </row>
    <row r="1359" spans="1:10" ht="38.25" outlineLevel="1">
      <c r="A1359" s="457" t="s">
        <v>2081</v>
      </c>
      <c r="B1359" s="458" t="s">
        <v>2082</v>
      </c>
      <c r="C1359" s="459"/>
      <c r="D1359" s="458"/>
      <c r="E1359" s="460">
        <v>7460</v>
      </c>
      <c r="F1359" s="460">
        <v>3460</v>
      </c>
      <c r="G1359" s="460">
        <v>950</v>
      </c>
      <c r="H1359" s="460">
        <v>950</v>
      </c>
      <c r="I1359" s="461">
        <v>12.73</v>
      </c>
      <c r="J1359" s="461"/>
    </row>
    <row r="1360" spans="1:10" ht="51" outlineLevel="2">
      <c r="A1360" s="462" t="s">
        <v>2083</v>
      </c>
      <c r="B1360" s="463" t="s">
        <v>2084</v>
      </c>
      <c r="C1360" s="464"/>
      <c r="D1360" s="463"/>
      <c r="E1360" s="465">
        <v>4000</v>
      </c>
      <c r="F1360" s="465">
        <v>0</v>
      </c>
      <c r="G1360" s="465">
        <v>0</v>
      </c>
      <c r="H1360" s="465">
        <v>0</v>
      </c>
      <c r="I1360" s="466">
        <v>0</v>
      </c>
      <c r="J1360" s="466"/>
    </row>
    <row r="1361" spans="1:10" ht="114.75" outlineLevel="3">
      <c r="A1361" s="467" t="s">
        <v>2085</v>
      </c>
      <c r="B1361" s="468" t="s">
        <v>2086</v>
      </c>
      <c r="C1361" s="469"/>
      <c r="D1361" s="468"/>
      <c r="E1361" s="470">
        <v>4000</v>
      </c>
      <c r="F1361" s="470">
        <v>0</v>
      </c>
      <c r="G1361" s="470">
        <v>0</v>
      </c>
      <c r="H1361" s="470">
        <v>0</v>
      </c>
      <c r="I1361" s="471">
        <v>0</v>
      </c>
      <c r="J1361" s="471"/>
    </row>
    <row r="1362" spans="1:10" ht="114.75" outlineLevel="4">
      <c r="A1362" s="472" t="s">
        <v>2085</v>
      </c>
      <c r="B1362" s="473" t="s">
        <v>2086</v>
      </c>
      <c r="C1362" s="474" t="s">
        <v>2040</v>
      </c>
      <c r="D1362" s="473" t="s">
        <v>2041</v>
      </c>
      <c r="E1362" s="475">
        <v>4000</v>
      </c>
      <c r="F1362" s="475">
        <v>0</v>
      </c>
      <c r="G1362" s="475">
        <v>0</v>
      </c>
      <c r="H1362" s="475">
        <v>0</v>
      </c>
      <c r="I1362" s="471">
        <v>0</v>
      </c>
      <c r="J1362" s="471"/>
    </row>
    <row r="1363" spans="1:10" ht="51" outlineLevel="2">
      <c r="A1363" s="462" t="s">
        <v>2087</v>
      </c>
      <c r="B1363" s="463" t="s">
        <v>2088</v>
      </c>
      <c r="C1363" s="464"/>
      <c r="D1363" s="463"/>
      <c r="E1363" s="465">
        <v>260</v>
      </c>
      <c r="F1363" s="465">
        <v>260</v>
      </c>
      <c r="G1363" s="465">
        <v>0</v>
      </c>
      <c r="H1363" s="465">
        <v>0</v>
      </c>
      <c r="I1363" s="466">
        <v>0</v>
      </c>
      <c r="J1363" s="466"/>
    </row>
    <row r="1364" spans="1:10" ht="25.5" outlineLevel="3">
      <c r="A1364" s="467" t="s">
        <v>728</v>
      </c>
      <c r="B1364" s="468" t="s">
        <v>2089</v>
      </c>
      <c r="C1364" s="469"/>
      <c r="D1364" s="468"/>
      <c r="E1364" s="470">
        <v>260</v>
      </c>
      <c r="F1364" s="470">
        <v>260</v>
      </c>
      <c r="G1364" s="470">
        <v>0</v>
      </c>
      <c r="H1364" s="470">
        <v>0</v>
      </c>
      <c r="I1364" s="471">
        <v>0</v>
      </c>
      <c r="J1364" s="471"/>
    </row>
    <row r="1365" spans="1:10" ht="25.5" outlineLevel="4">
      <c r="A1365" s="472" t="s">
        <v>728</v>
      </c>
      <c r="B1365" s="473" t="s">
        <v>2089</v>
      </c>
      <c r="C1365" s="474" t="s">
        <v>2040</v>
      </c>
      <c r="D1365" s="473" t="s">
        <v>2041</v>
      </c>
      <c r="E1365" s="475">
        <v>260</v>
      </c>
      <c r="F1365" s="475">
        <v>260</v>
      </c>
      <c r="G1365" s="475">
        <v>0</v>
      </c>
      <c r="H1365" s="475">
        <v>0</v>
      </c>
      <c r="I1365" s="471">
        <v>0</v>
      </c>
      <c r="J1365" s="471"/>
    </row>
    <row r="1366" spans="1:10" ht="89.25" outlineLevel="2">
      <c r="A1366" s="462" t="s">
        <v>2090</v>
      </c>
      <c r="B1366" s="463" t="s">
        <v>2091</v>
      </c>
      <c r="C1366" s="464"/>
      <c r="D1366" s="463"/>
      <c r="E1366" s="465">
        <v>1300</v>
      </c>
      <c r="F1366" s="465">
        <v>1300</v>
      </c>
      <c r="G1366" s="465">
        <v>0</v>
      </c>
      <c r="H1366" s="465">
        <v>0</v>
      </c>
      <c r="I1366" s="466">
        <v>0</v>
      </c>
      <c r="J1366" s="466"/>
    </row>
    <row r="1367" spans="1:10" ht="25.5" outlineLevel="3">
      <c r="A1367" s="467" t="s">
        <v>728</v>
      </c>
      <c r="B1367" s="468" t="s">
        <v>2092</v>
      </c>
      <c r="C1367" s="469"/>
      <c r="D1367" s="468"/>
      <c r="E1367" s="470">
        <v>1300</v>
      </c>
      <c r="F1367" s="470">
        <v>1300</v>
      </c>
      <c r="G1367" s="470">
        <v>0</v>
      </c>
      <c r="H1367" s="470">
        <v>0</v>
      </c>
      <c r="I1367" s="471">
        <v>0</v>
      </c>
      <c r="J1367" s="471"/>
    </row>
    <row r="1368" spans="1:10" ht="25.5" outlineLevel="4">
      <c r="A1368" s="472" t="s">
        <v>728</v>
      </c>
      <c r="B1368" s="473" t="s">
        <v>2092</v>
      </c>
      <c r="C1368" s="474" t="s">
        <v>2040</v>
      </c>
      <c r="D1368" s="473" t="s">
        <v>2041</v>
      </c>
      <c r="E1368" s="475">
        <v>1300</v>
      </c>
      <c r="F1368" s="475">
        <v>1300</v>
      </c>
      <c r="G1368" s="475">
        <v>0</v>
      </c>
      <c r="H1368" s="475">
        <v>0</v>
      </c>
      <c r="I1368" s="471">
        <v>0</v>
      </c>
      <c r="J1368" s="471"/>
    </row>
    <row r="1369" spans="1:10" ht="114.75" outlineLevel="2">
      <c r="A1369" s="462" t="s">
        <v>2093</v>
      </c>
      <c r="B1369" s="463" t="s">
        <v>2094</v>
      </c>
      <c r="C1369" s="464"/>
      <c r="D1369" s="463"/>
      <c r="E1369" s="465">
        <v>1900</v>
      </c>
      <c r="F1369" s="465">
        <v>1900</v>
      </c>
      <c r="G1369" s="465">
        <v>950</v>
      </c>
      <c r="H1369" s="465">
        <v>950</v>
      </c>
      <c r="I1369" s="466">
        <v>50</v>
      </c>
      <c r="J1369" s="466"/>
    </row>
    <row r="1370" spans="1:10" ht="38.25" outlineLevel="3">
      <c r="A1370" s="467" t="s">
        <v>1082</v>
      </c>
      <c r="B1370" s="468" t="s">
        <v>2095</v>
      </c>
      <c r="C1370" s="469"/>
      <c r="D1370" s="468"/>
      <c r="E1370" s="470">
        <v>1900</v>
      </c>
      <c r="F1370" s="470">
        <v>1900</v>
      </c>
      <c r="G1370" s="470">
        <v>950</v>
      </c>
      <c r="H1370" s="470">
        <v>950</v>
      </c>
      <c r="I1370" s="471">
        <v>50</v>
      </c>
      <c r="J1370" s="471"/>
    </row>
    <row r="1371" spans="1:10" ht="38.25" outlineLevel="4">
      <c r="A1371" s="472" t="s">
        <v>1082</v>
      </c>
      <c r="B1371" s="473" t="s">
        <v>2095</v>
      </c>
      <c r="C1371" s="474" t="s">
        <v>2040</v>
      </c>
      <c r="D1371" s="473" t="s">
        <v>2041</v>
      </c>
      <c r="E1371" s="475">
        <v>1900</v>
      </c>
      <c r="F1371" s="475">
        <v>1900</v>
      </c>
      <c r="G1371" s="475">
        <v>950</v>
      </c>
      <c r="H1371" s="475">
        <v>950</v>
      </c>
      <c r="I1371" s="471">
        <v>50</v>
      </c>
      <c r="J1371" s="471"/>
    </row>
    <row r="1372" spans="1:10" ht="51" outlineLevel="1">
      <c r="A1372" s="457" t="s">
        <v>2096</v>
      </c>
      <c r="B1372" s="458" t="s">
        <v>2097</v>
      </c>
      <c r="C1372" s="459"/>
      <c r="D1372" s="458"/>
      <c r="E1372" s="460">
        <v>47903.737059999999</v>
      </c>
      <c r="F1372" s="460">
        <v>47791.47436</v>
      </c>
      <c r="G1372" s="460">
        <v>20741.510740000002</v>
      </c>
      <c r="H1372" s="460">
        <v>19467.154900000001</v>
      </c>
      <c r="I1372" s="461">
        <v>40.64</v>
      </c>
      <c r="J1372" s="461"/>
    </row>
    <row r="1373" spans="1:10" ht="51" outlineLevel="2">
      <c r="A1373" s="462" t="s">
        <v>2098</v>
      </c>
      <c r="B1373" s="463" t="s">
        <v>2099</v>
      </c>
      <c r="C1373" s="464"/>
      <c r="D1373" s="463"/>
      <c r="E1373" s="465">
        <v>47903.737059999999</v>
      </c>
      <c r="F1373" s="465">
        <v>47791.47436</v>
      </c>
      <c r="G1373" s="465">
        <v>20741.510740000002</v>
      </c>
      <c r="H1373" s="465">
        <v>19467.154900000001</v>
      </c>
      <c r="I1373" s="466">
        <v>40.64</v>
      </c>
      <c r="J1373" s="466"/>
    </row>
    <row r="1374" spans="1:10" ht="25.5" outlineLevel="3">
      <c r="A1374" s="467" t="s">
        <v>888</v>
      </c>
      <c r="B1374" s="468" t="s">
        <v>2100</v>
      </c>
      <c r="C1374" s="469"/>
      <c r="D1374" s="468"/>
      <c r="E1374" s="470">
        <v>43713.087039999999</v>
      </c>
      <c r="F1374" s="470">
        <v>43713.087039999999</v>
      </c>
      <c r="G1374" s="470">
        <v>19685</v>
      </c>
      <c r="H1374" s="470">
        <v>18681.23373</v>
      </c>
      <c r="I1374" s="471">
        <v>42.74</v>
      </c>
      <c r="J1374" s="471"/>
    </row>
    <row r="1375" spans="1:10" ht="25.5" outlineLevel="4">
      <c r="A1375" s="472" t="s">
        <v>888</v>
      </c>
      <c r="B1375" s="473" t="s">
        <v>2100</v>
      </c>
      <c r="C1375" s="474" t="s">
        <v>2101</v>
      </c>
      <c r="D1375" s="473" t="s">
        <v>2102</v>
      </c>
      <c r="E1375" s="475">
        <v>43713.087039999999</v>
      </c>
      <c r="F1375" s="475">
        <v>43713.087039999999</v>
      </c>
      <c r="G1375" s="475">
        <v>19685</v>
      </c>
      <c r="H1375" s="475">
        <v>18681.23373</v>
      </c>
      <c r="I1375" s="471">
        <v>42.74</v>
      </c>
      <c r="J1375" s="471"/>
    </row>
    <row r="1376" spans="1:10" ht="38.25" outlineLevel="3">
      <c r="A1376" s="467" t="s">
        <v>869</v>
      </c>
      <c r="B1376" s="468" t="s">
        <v>2103</v>
      </c>
      <c r="C1376" s="469"/>
      <c r="D1376" s="468"/>
      <c r="E1376" s="470">
        <v>1889.9399100000001</v>
      </c>
      <c r="F1376" s="470">
        <v>1777.6772100000001</v>
      </c>
      <c r="G1376" s="470">
        <v>783.42164000000002</v>
      </c>
      <c r="H1376" s="470">
        <v>586.46514999999999</v>
      </c>
      <c r="I1376" s="471">
        <v>31.03</v>
      </c>
      <c r="J1376" s="471"/>
    </row>
    <row r="1377" spans="1:10" ht="38.25" outlineLevel="4">
      <c r="A1377" s="472" t="s">
        <v>869</v>
      </c>
      <c r="B1377" s="473" t="s">
        <v>2103</v>
      </c>
      <c r="C1377" s="474" t="s">
        <v>2101</v>
      </c>
      <c r="D1377" s="473" t="s">
        <v>2102</v>
      </c>
      <c r="E1377" s="475">
        <v>1889.9399100000001</v>
      </c>
      <c r="F1377" s="475">
        <v>1777.6772100000001</v>
      </c>
      <c r="G1377" s="475">
        <v>783.42164000000002</v>
      </c>
      <c r="H1377" s="475">
        <v>586.46514999999999</v>
      </c>
      <c r="I1377" s="471">
        <v>31.03</v>
      </c>
      <c r="J1377" s="471"/>
    </row>
    <row r="1378" spans="1:10" ht="63.75" outlineLevel="3">
      <c r="A1378" s="467" t="s">
        <v>62</v>
      </c>
      <c r="B1378" s="468" t="s">
        <v>2104</v>
      </c>
      <c r="C1378" s="469"/>
      <c r="D1378" s="468"/>
      <c r="E1378" s="470">
        <v>541.41011000000003</v>
      </c>
      <c r="F1378" s="470">
        <v>541.41011000000003</v>
      </c>
      <c r="G1378" s="470">
        <v>28</v>
      </c>
      <c r="H1378" s="470">
        <v>20.878229999999999</v>
      </c>
      <c r="I1378" s="471">
        <v>3.86</v>
      </c>
      <c r="J1378" s="471"/>
    </row>
    <row r="1379" spans="1:10" ht="63.75" outlineLevel="4">
      <c r="A1379" s="472" t="s">
        <v>62</v>
      </c>
      <c r="B1379" s="473" t="s">
        <v>2104</v>
      </c>
      <c r="C1379" s="474" t="s">
        <v>2101</v>
      </c>
      <c r="D1379" s="473" t="s">
        <v>2102</v>
      </c>
      <c r="E1379" s="475">
        <v>541.41011000000003</v>
      </c>
      <c r="F1379" s="475">
        <v>541.41011000000003</v>
      </c>
      <c r="G1379" s="475">
        <v>28</v>
      </c>
      <c r="H1379" s="475">
        <v>20.878229999999999</v>
      </c>
      <c r="I1379" s="471">
        <v>3.86</v>
      </c>
      <c r="J1379" s="471"/>
    </row>
    <row r="1380" spans="1:10" ht="76.5" outlineLevel="3">
      <c r="A1380" s="467" t="s">
        <v>1042</v>
      </c>
      <c r="B1380" s="468" t="s">
        <v>2105</v>
      </c>
      <c r="C1380" s="469"/>
      <c r="D1380" s="468"/>
      <c r="E1380" s="470">
        <v>264</v>
      </c>
      <c r="F1380" s="470">
        <v>264</v>
      </c>
      <c r="G1380" s="470">
        <v>8.5</v>
      </c>
      <c r="H1380" s="470">
        <v>8.5</v>
      </c>
      <c r="I1380" s="471">
        <v>3.22</v>
      </c>
      <c r="J1380" s="471"/>
    </row>
    <row r="1381" spans="1:10" ht="76.5" outlineLevel="4">
      <c r="A1381" s="472" t="s">
        <v>1042</v>
      </c>
      <c r="B1381" s="473" t="s">
        <v>2105</v>
      </c>
      <c r="C1381" s="474" t="s">
        <v>2101</v>
      </c>
      <c r="D1381" s="473" t="s">
        <v>2102</v>
      </c>
      <c r="E1381" s="475">
        <v>264</v>
      </c>
      <c r="F1381" s="475">
        <v>264</v>
      </c>
      <c r="G1381" s="475">
        <v>8.5</v>
      </c>
      <c r="H1381" s="475">
        <v>8.5</v>
      </c>
      <c r="I1381" s="471">
        <v>3.22</v>
      </c>
      <c r="J1381" s="471"/>
    </row>
    <row r="1382" spans="1:10" ht="76.5" outlineLevel="3">
      <c r="A1382" s="467" t="s">
        <v>2106</v>
      </c>
      <c r="B1382" s="468" t="s">
        <v>2107</v>
      </c>
      <c r="C1382" s="469"/>
      <c r="D1382" s="468"/>
      <c r="E1382" s="470">
        <v>1495.3</v>
      </c>
      <c r="F1382" s="470">
        <v>1495.3</v>
      </c>
      <c r="G1382" s="470">
        <v>236.5891</v>
      </c>
      <c r="H1382" s="470">
        <v>170.07778999999999</v>
      </c>
      <c r="I1382" s="471">
        <v>11.37</v>
      </c>
      <c r="J1382" s="471"/>
    </row>
    <row r="1383" spans="1:10" ht="76.5" outlineLevel="4">
      <c r="A1383" s="472" t="s">
        <v>2106</v>
      </c>
      <c r="B1383" s="473" t="s">
        <v>2107</v>
      </c>
      <c r="C1383" s="474" t="s">
        <v>2101</v>
      </c>
      <c r="D1383" s="473" t="s">
        <v>2102</v>
      </c>
      <c r="E1383" s="475">
        <v>1495.3</v>
      </c>
      <c r="F1383" s="475">
        <v>1495.3</v>
      </c>
      <c r="G1383" s="475">
        <v>236.5891</v>
      </c>
      <c r="H1383" s="475">
        <v>170.07778999999999</v>
      </c>
      <c r="I1383" s="471">
        <v>11.37</v>
      </c>
      <c r="J1383" s="471"/>
    </row>
    <row r="1384" spans="1:10" ht="38.25" outlineLevel="1">
      <c r="A1384" s="457" t="s">
        <v>2108</v>
      </c>
      <c r="B1384" s="458" t="s">
        <v>2109</v>
      </c>
      <c r="C1384" s="459"/>
      <c r="D1384" s="458"/>
      <c r="E1384" s="460">
        <v>200348.22289</v>
      </c>
      <c r="F1384" s="460">
        <v>185933.84112</v>
      </c>
      <c r="G1384" s="460">
        <v>93682.208350000001</v>
      </c>
      <c r="H1384" s="460">
        <v>88006.028040000005</v>
      </c>
      <c r="I1384" s="461">
        <v>43.93</v>
      </c>
      <c r="J1384" s="461"/>
    </row>
    <row r="1385" spans="1:10" ht="89.25" outlineLevel="2">
      <c r="A1385" s="462" t="s">
        <v>2110</v>
      </c>
      <c r="B1385" s="463" t="s">
        <v>2111</v>
      </c>
      <c r="C1385" s="464"/>
      <c r="D1385" s="463"/>
      <c r="E1385" s="465">
        <v>94740.921820000003</v>
      </c>
      <c r="F1385" s="465">
        <v>80718.921820000003</v>
      </c>
      <c r="G1385" s="465">
        <v>43935.880599999997</v>
      </c>
      <c r="H1385" s="465">
        <v>42332.60843</v>
      </c>
      <c r="I1385" s="466">
        <v>44.68</v>
      </c>
      <c r="J1385" s="466"/>
    </row>
    <row r="1386" spans="1:10" ht="25.5" outlineLevel="3">
      <c r="A1386" s="467" t="s">
        <v>888</v>
      </c>
      <c r="B1386" s="468" t="s">
        <v>2112</v>
      </c>
      <c r="C1386" s="469"/>
      <c r="D1386" s="468"/>
      <c r="E1386" s="470">
        <v>75859.956630000001</v>
      </c>
      <c r="F1386" s="470">
        <v>75859.956630000001</v>
      </c>
      <c r="G1386" s="470">
        <v>41800</v>
      </c>
      <c r="H1386" s="470">
        <v>41411.563909999997</v>
      </c>
      <c r="I1386" s="471">
        <v>54.59</v>
      </c>
      <c r="J1386" s="471"/>
    </row>
    <row r="1387" spans="1:10" ht="25.5" outlineLevel="4">
      <c r="A1387" s="472" t="s">
        <v>888</v>
      </c>
      <c r="B1387" s="473" t="s">
        <v>2112</v>
      </c>
      <c r="C1387" s="474" t="s">
        <v>2040</v>
      </c>
      <c r="D1387" s="473" t="s">
        <v>2041</v>
      </c>
      <c r="E1387" s="475">
        <v>75859.956630000001</v>
      </c>
      <c r="F1387" s="475">
        <v>75859.956630000001</v>
      </c>
      <c r="G1387" s="475">
        <v>41800</v>
      </c>
      <c r="H1387" s="475">
        <v>41411.563909999997</v>
      </c>
      <c r="I1387" s="471">
        <v>54.59</v>
      </c>
      <c r="J1387" s="471"/>
    </row>
    <row r="1388" spans="1:10" ht="38.25" outlineLevel="3">
      <c r="A1388" s="467" t="s">
        <v>869</v>
      </c>
      <c r="B1388" s="468" t="s">
        <v>2113</v>
      </c>
      <c r="C1388" s="469"/>
      <c r="D1388" s="468"/>
      <c r="E1388" s="470">
        <v>2103.1651900000002</v>
      </c>
      <c r="F1388" s="470">
        <v>2103.1651900000002</v>
      </c>
      <c r="G1388" s="470">
        <v>909.24159999999995</v>
      </c>
      <c r="H1388" s="470">
        <v>366.67471999999998</v>
      </c>
      <c r="I1388" s="471">
        <v>17.43</v>
      </c>
      <c r="J1388" s="471"/>
    </row>
    <row r="1389" spans="1:10" ht="38.25" outlineLevel="4">
      <c r="A1389" s="472" t="s">
        <v>869</v>
      </c>
      <c r="B1389" s="473" t="s">
        <v>2113</v>
      </c>
      <c r="C1389" s="474" t="s">
        <v>2040</v>
      </c>
      <c r="D1389" s="473" t="s">
        <v>2041</v>
      </c>
      <c r="E1389" s="475">
        <v>2103.1651900000002</v>
      </c>
      <c r="F1389" s="475">
        <v>2103.1651900000002</v>
      </c>
      <c r="G1389" s="475">
        <v>909.24159999999995</v>
      </c>
      <c r="H1389" s="475">
        <v>366.67471999999998</v>
      </c>
      <c r="I1389" s="471">
        <v>17.43</v>
      </c>
      <c r="J1389" s="471"/>
    </row>
    <row r="1390" spans="1:10" ht="63.75" outlineLevel="3">
      <c r="A1390" s="467" t="s">
        <v>62</v>
      </c>
      <c r="B1390" s="468" t="s">
        <v>2114</v>
      </c>
      <c r="C1390" s="469"/>
      <c r="D1390" s="468"/>
      <c r="E1390" s="470">
        <v>665</v>
      </c>
      <c r="F1390" s="470">
        <v>665</v>
      </c>
      <c r="G1390" s="470">
        <v>100</v>
      </c>
      <c r="H1390" s="470">
        <v>87.572800000000001</v>
      </c>
      <c r="I1390" s="471">
        <v>13.17</v>
      </c>
      <c r="J1390" s="471"/>
    </row>
    <row r="1391" spans="1:10" ht="63.75" outlineLevel="4">
      <c r="A1391" s="472" t="s">
        <v>62</v>
      </c>
      <c r="B1391" s="473" t="s">
        <v>2114</v>
      </c>
      <c r="C1391" s="474" t="s">
        <v>2040</v>
      </c>
      <c r="D1391" s="473" t="s">
        <v>2041</v>
      </c>
      <c r="E1391" s="475">
        <v>665</v>
      </c>
      <c r="F1391" s="475">
        <v>665</v>
      </c>
      <c r="G1391" s="475">
        <v>100</v>
      </c>
      <c r="H1391" s="475">
        <v>87.572800000000001</v>
      </c>
      <c r="I1391" s="471">
        <v>13.17</v>
      </c>
      <c r="J1391" s="471"/>
    </row>
    <row r="1392" spans="1:10" ht="51" outlineLevel="3">
      <c r="A1392" s="467" t="s">
        <v>876</v>
      </c>
      <c r="B1392" s="468" t="s">
        <v>2115</v>
      </c>
      <c r="C1392" s="469"/>
      <c r="D1392" s="468"/>
      <c r="E1392" s="470">
        <v>2090.8000000000002</v>
      </c>
      <c r="F1392" s="470">
        <v>2090.8000000000002</v>
      </c>
      <c r="G1392" s="470">
        <v>1126.6389999999999</v>
      </c>
      <c r="H1392" s="470">
        <v>466.79700000000003</v>
      </c>
      <c r="I1392" s="471">
        <v>22.33</v>
      </c>
      <c r="J1392" s="471"/>
    </row>
    <row r="1393" spans="1:10" ht="51" outlineLevel="4">
      <c r="A1393" s="472" t="s">
        <v>876</v>
      </c>
      <c r="B1393" s="473" t="s">
        <v>2115</v>
      </c>
      <c r="C1393" s="474" t="s">
        <v>2040</v>
      </c>
      <c r="D1393" s="473" t="s">
        <v>2041</v>
      </c>
      <c r="E1393" s="475">
        <v>2090.8000000000002</v>
      </c>
      <c r="F1393" s="475">
        <v>2090.8000000000002</v>
      </c>
      <c r="G1393" s="475">
        <v>1126.6389999999999</v>
      </c>
      <c r="H1393" s="475">
        <v>466.79700000000003</v>
      </c>
      <c r="I1393" s="471">
        <v>22.33</v>
      </c>
      <c r="J1393" s="471"/>
    </row>
    <row r="1394" spans="1:10" ht="25.5" outlineLevel="3">
      <c r="A1394" s="467" t="s">
        <v>2116</v>
      </c>
      <c r="B1394" s="468" t="s">
        <v>2117</v>
      </c>
      <c r="C1394" s="469"/>
      <c r="D1394" s="468"/>
      <c r="E1394" s="470">
        <v>14022</v>
      </c>
      <c r="F1394" s="470">
        <v>0</v>
      </c>
      <c r="G1394" s="470">
        <v>0</v>
      </c>
      <c r="H1394" s="470">
        <v>0</v>
      </c>
      <c r="I1394" s="471">
        <v>0</v>
      </c>
      <c r="J1394" s="471"/>
    </row>
    <row r="1395" spans="1:10" ht="25.5" outlineLevel="4">
      <c r="A1395" s="472" t="s">
        <v>2116</v>
      </c>
      <c r="B1395" s="473" t="s">
        <v>2117</v>
      </c>
      <c r="C1395" s="474" t="s">
        <v>2040</v>
      </c>
      <c r="D1395" s="473" t="s">
        <v>2041</v>
      </c>
      <c r="E1395" s="475">
        <v>14022</v>
      </c>
      <c r="F1395" s="475">
        <v>0</v>
      </c>
      <c r="G1395" s="475">
        <v>0</v>
      </c>
      <c r="H1395" s="475">
        <v>0</v>
      </c>
      <c r="I1395" s="471">
        <v>0</v>
      </c>
      <c r="J1395" s="476" t="s">
        <v>10</v>
      </c>
    </row>
    <row r="1396" spans="1:10" ht="102" outlineLevel="2">
      <c r="A1396" s="462" t="s">
        <v>2118</v>
      </c>
      <c r="B1396" s="463" t="s">
        <v>2119</v>
      </c>
      <c r="C1396" s="464"/>
      <c r="D1396" s="463"/>
      <c r="E1396" s="465">
        <v>105607.30107</v>
      </c>
      <c r="F1396" s="465">
        <v>105214.91929999999</v>
      </c>
      <c r="G1396" s="465">
        <v>49746.327749999997</v>
      </c>
      <c r="H1396" s="465">
        <v>45673.419609999997</v>
      </c>
      <c r="I1396" s="466">
        <v>43.25</v>
      </c>
      <c r="J1396" s="466"/>
    </row>
    <row r="1397" spans="1:10" ht="25.5" outlineLevel="3">
      <c r="A1397" s="467" t="s">
        <v>888</v>
      </c>
      <c r="B1397" s="468" t="s">
        <v>2120</v>
      </c>
      <c r="C1397" s="469"/>
      <c r="D1397" s="468"/>
      <c r="E1397" s="470">
        <v>99915.648409999994</v>
      </c>
      <c r="F1397" s="470">
        <v>99523.266640000002</v>
      </c>
      <c r="G1397" s="470">
        <v>48275.030989999999</v>
      </c>
      <c r="H1397" s="470">
        <v>44271.18419</v>
      </c>
      <c r="I1397" s="471">
        <v>44.31</v>
      </c>
      <c r="J1397" s="471"/>
    </row>
    <row r="1398" spans="1:10" ht="25.5" outlineLevel="4">
      <c r="A1398" s="472" t="s">
        <v>888</v>
      </c>
      <c r="B1398" s="473" t="s">
        <v>2120</v>
      </c>
      <c r="C1398" s="474" t="s">
        <v>2064</v>
      </c>
      <c r="D1398" s="473" t="s">
        <v>2065</v>
      </c>
      <c r="E1398" s="475">
        <v>23911.794180000001</v>
      </c>
      <c r="F1398" s="475">
        <v>23911.794180000001</v>
      </c>
      <c r="G1398" s="475">
        <v>11616.794180000001</v>
      </c>
      <c r="H1398" s="475">
        <v>9024.2081899999994</v>
      </c>
      <c r="I1398" s="471">
        <v>37.74</v>
      </c>
      <c r="J1398" s="471"/>
    </row>
    <row r="1399" spans="1:10" ht="38.25" outlineLevel="4">
      <c r="A1399" s="472" t="s">
        <v>888</v>
      </c>
      <c r="B1399" s="473" t="s">
        <v>2120</v>
      </c>
      <c r="C1399" s="474" t="s">
        <v>1817</v>
      </c>
      <c r="D1399" s="473" t="s">
        <v>1818</v>
      </c>
      <c r="E1399" s="475">
        <v>76003.854229999997</v>
      </c>
      <c r="F1399" s="475">
        <v>75611.472460000005</v>
      </c>
      <c r="G1399" s="475">
        <v>36658.236810000002</v>
      </c>
      <c r="H1399" s="475">
        <v>35246.976000000002</v>
      </c>
      <c r="I1399" s="471">
        <v>46.38</v>
      </c>
      <c r="J1399" s="471"/>
    </row>
    <row r="1400" spans="1:10" ht="38.25" outlineLevel="3">
      <c r="A1400" s="467" t="s">
        <v>869</v>
      </c>
      <c r="B1400" s="468" t="s">
        <v>2121</v>
      </c>
      <c r="C1400" s="469"/>
      <c r="D1400" s="468"/>
      <c r="E1400" s="470">
        <v>4330.7054799999996</v>
      </c>
      <c r="F1400" s="470">
        <v>4330.7054799999996</v>
      </c>
      <c r="G1400" s="470">
        <v>1296.2967599999999</v>
      </c>
      <c r="H1400" s="470">
        <v>1245.75738</v>
      </c>
      <c r="I1400" s="471">
        <v>28.77</v>
      </c>
      <c r="J1400" s="471"/>
    </row>
    <row r="1401" spans="1:10" ht="38.25" outlineLevel="4">
      <c r="A1401" s="472" t="s">
        <v>869</v>
      </c>
      <c r="B1401" s="473" t="s">
        <v>2121</v>
      </c>
      <c r="C1401" s="474" t="s">
        <v>2064</v>
      </c>
      <c r="D1401" s="473" t="s">
        <v>2065</v>
      </c>
      <c r="E1401" s="475">
        <v>1012</v>
      </c>
      <c r="F1401" s="475">
        <v>1012</v>
      </c>
      <c r="G1401" s="475">
        <v>582.54831000000001</v>
      </c>
      <c r="H1401" s="475">
        <v>562.26657</v>
      </c>
      <c r="I1401" s="471">
        <v>55.56</v>
      </c>
      <c r="J1401" s="471"/>
    </row>
    <row r="1402" spans="1:10" ht="38.25" outlineLevel="4">
      <c r="A1402" s="472" t="s">
        <v>869</v>
      </c>
      <c r="B1402" s="473" t="s">
        <v>2121</v>
      </c>
      <c r="C1402" s="474" t="s">
        <v>1817</v>
      </c>
      <c r="D1402" s="473" t="s">
        <v>1818</v>
      </c>
      <c r="E1402" s="475">
        <v>3318.7054800000001</v>
      </c>
      <c r="F1402" s="475">
        <v>3318.7054800000001</v>
      </c>
      <c r="G1402" s="475">
        <v>713.74845000000005</v>
      </c>
      <c r="H1402" s="475">
        <v>683.49081000000001</v>
      </c>
      <c r="I1402" s="471">
        <v>20.6</v>
      </c>
      <c r="J1402" s="471"/>
    </row>
    <row r="1403" spans="1:10" ht="63.75" outlineLevel="3">
      <c r="A1403" s="467" t="s">
        <v>62</v>
      </c>
      <c r="B1403" s="468" t="s">
        <v>2122</v>
      </c>
      <c r="C1403" s="469"/>
      <c r="D1403" s="468"/>
      <c r="E1403" s="470">
        <v>1200.9471799999999</v>
      </c>
      <c r="F1403" s="470">
        <v>1200.9471799999999</v>
      </c>
      <c r="G1403" s="470">
        <v>175</v>
      </c>
      <c r="H1403" s="470">
        <v>156.47803999999999</v>
      </c>
      <c r="I1403" s="471">
        <v>13.03</v>
      </c>
      <c r="J1403" s="471"/>
    </row>
    <row r="1404" spans="1:10" ht="63.75" outlineLevel="4">
      <c r="A1404" s="472" t="s">
        <v>62</v>
      </c>
      <c r="B1404" s="473" t="s">
        <v>2122</v>
      </c>
      <c r="C1404" s="474" t="s">
        <v>2064</v>
      </c>
      <c r="D1404" s="473" t="s">
        <v>2065</v>
      </c>
      <c r="E1404" s="475">
        <v>375</v>
      </c>
      <c r="F1404" s="475">
        <v>375</v>
      </c>
      <c r="G1404" s="475">
        <v>30</v>
      </c>
      <c r="H1404" s="475">
        <v>19.5</v>
      </c>
      <c r="I1404" s="471">
        <v>5.2</v>
      </c>
      <c r="J1404" s="471"/>
    </row>
    <row r="1405" spans="1:10" ht="63.75" outlineLevel="4">
      <c r="A1405" s="472" t="s">
        <v>62</v>
      </c>
      <c r="B1405" s="473" t="s">
        <v>2122</v>
      </c>
      <c r="C1405" s="474" t="s">
        <v>1817</v>
      </c>
      <c r="D1405" s="473" t="s">
        <v>1818</v>
      </c>
      <c r="E1405" s="475">
        <v>825.94718</v>
      </c>
      <c r="F1405" s="475">
        <v>825.94718</v>
      </c>
      <c r="G1405" s="475">
        <v>145</v>
      </c>
      <c r="H1405" s="475">
        <v>136.97803999999999</v>
      </c>
      <c r="I1405" s="471">
        <v>16.579999999999998</v>
      </c>
      <c r="J1405" s="471"/>
    </row>
    <row r="1406" spans="1:10" ht="76.5" outlineLevel="3">
      <c r="A1406" s="467" t="s">
        <v>1042</v>
      </c>
      <c r="B1406" s="468" t="s">
        <v>2123</v>
      </c>
      <c r="C1406" s="469"/>
      <c r="D1406" s="468"/>
      <c r="E1406" s="470">
        <v>160</v>
      </c>
      <c r="F1406" s="470">
        <v>160</v>
      </c>
      <c r="G1406" s="470">
        <v>0</v>
      </c>
      <c r="H1406" s="470">
        <v>0</v>
      </c>
      <c r="I1406" s="471">
        <v>0</v>
      </c>
      <c r="J1406" s="471"/>
    </row>
    <row r="1407" spans="1:10" ht="76.5" outlineLevel="4">
      <c r="A1407" s="472" t="s">
        <v>1042</v>
      </c>
      <c r="B1407" s="473" t="s">
        <v>2123</v>
      </c>
      <c r="C1407" s="474" t="s">
        <v>1817</v>
      </c>
      <c r="D1407" s="473" t="s">
        <v>1818</v>
      </c>
      <c r="E1407" s="475">
        <v>160</v>
      </c>
      <c r="F1407" s="475">
        <v>160</v>
      </c>
      <c r="G1407" s="475">
        <v>0</v>
      </c>
      <c r="H1407" s="475">
        <v>0</v>
      </c>
      <c r="I1407" s="471">
        <v>0</v>
      </c>
      <c r="J1407" s="471"/>
    </row>
    <row r="1408" spans="1:10" ht="30.75" collapsed="1" thickBot="1">
      <c r="A1408" s="452" t="s">
        <v>2124</v>
      </c>
      <c r="B1408" s="453" t="s">
        <v>2125</v>
      </c>
      <c r="C1408" s="454"/>
      <c r="D1408" s="453"/>
      <c r="E1408" s="455">
        <v>624031.93376000004</v>
      </c>
      <c r="F1408" s="455">
        <v>516889.97204999998</v>
      </c>
      <c r="G1408" s="455">
        <v>220305.88686</v>
      </c>
      <c r="H1408" s="455">
        <v>199959.58798000001</v>
      </c>
      <c r="I1408" s="456">
        <v>32.04</v>
      </c>
      <c r="J1408" s="456"/>
    </row>
    <row r="1409" spans="1:10" ht="51" outlineLevel="1">
      <c r="A1409" s="457" t="s">
        <v>2126</v>
      </c>
      <c r="B1409" s="458" t="s">
        <v>2127</v>
      </c>
      <c r="C1409" s="459"/>
      <c r="D1409" s="458"/>
      <c r="E1409" s="460">
        <v>623632.33375999995</v>
      </c>
      <c r="F1409" s="460">
        <v>516490.37205000001</v>
      </c>
      <c r="G1409" s="460">
        <v>220106.08686000001</v>
      </c>
      <c r="H1409" s="460">
        <v>199859.68797999999</v>
      </c>
      <c r="I1409" s="461">
        <v>32.049999999999997</v>
      </c>
      <c r="J1409" s="461"/>
    </row>
    <row r="1410" spans="1:10" ht="76.5" outlineLevel="2">
      <c r="A1410" s="462" t="s">
        <v>2128</v>
      </c>
      <c r="B1410" s="463" t="s">
        <v>2129</v>
      </c>
      <c r="C1410" s="464"/>
      <c r="D1410" s="463"/>
      <c r="E1410" s="465">
        <v>59827</v>
      </c>
      <c r="F1410" s="465">
        <v>59827</v>
      </c>
      <c r="G1410" s="465">
        <v>17398.77</v>
      </c>
      <c r="H1410" s="465">
        <v>15479.489</v>
      </c>
      <c r="I1410" s="466">
        <v>25.87</v>
      </c>
      <c r="J1410" s="466"/>
    </row>
    <row r="1411" spans="1:10" ht="51" outlineLevel="3">
      <c r="A1411" s="467" t="s">
        <v>876</v>
      </c>
      <c r="B1411" s="468" t="s">
        <v>2130</v>
      </c>
      <c r="C1411" s="469"/>
      <c r="D1411" s="468"/>
      <c r="E1411" s="470">
        <v>59827</v>
      </c>
      <c r="F1411" s="470">
        <v>59827</v>
      </c>
      <c r="G1411" s="470">
        <v>17398.77</v>
      </c>
      <c r="H1411" s="470">
        <v>15479.489</v>
      </c>
      <c r="I1411" s="471">
        <v>25.87</v>
      </c>
      <c r="J1411" s="471"/>
    </row>
    <row r="1412" spans="1:10" ht="51" outlineLevel="4">
      <c r="A1412" s="472" t="s">
        <v>876</v>
      </c>
      <c r="B1412" s="473" t="s">
        <v>2130</v>
      </c>
      <c r="C1412" s="474" t="s">
        <v>2023</v>
      </c>
      <c r="D1412" s="473" t="s">
        <v>2024</v>
      </c>
      <c r="E1412" s="475">
        <v>59827</v>
      </c>
      <c r="F1412" s="475">
        <v>59827</v>
      </c>
      <c r="G1412" s="475">
        <v>17398.77</v>
      </c>
      <c r="H1412" s="475">
        <v>15479.489</v>
      </c>
      <c r="I1412" s="471">
        <v>25.87</v>
      </c>
      <c r="J1412" s="471"/>
    </row>
    <row r="1413" spans="1:10" ht="76.5" outlineLevel="2">
      <c r="A1413" s="462" t="s">
        <v>2131</v>
      </c>
      <c r="B1413" s="463" t="s">
        <v>2132</v>
      </c>
      <c r="C1413" s="464"/>
      <c r="D1413" s="463"/>
      <c r="E1413" s="465">
        <v>1710</v>
      </c>
      <c r="F1413" s="465">
        <v>1710</v>
      </c>
      <c r="G1413" s="465">
        <v>0</v>
      </c>
      <c r="H1413" s="465">
        <v>0</v>
      </c>
      <c r="I1413" s="466">
        <v>0</v>
      </c>
      <c r="J1413" s="466"/>
    </row>
    <row r="1414" spans="1:10" ht="51" outlineLevel="3">
      <c r="A1414" s="467" t="s">
        <v>876</v>
      </c>
      <c r="B1414" s="468" t="s">
        <v>2133</v>
      </c>
      <c r="C1414" s="469"/>
      <c r="D1414" s="468"/>
      <c r="E1414" s="470">
        <v>1710</v>
      </c>
      <c r="F1414" s="470">
        <v>1710</v>
      </c>
      <c r="G1414" s="470">
        <v>0</v>
      </c>
      <c r="H1414" s="470">
        <v>0</v>
      </c>
      <c r="I1414" s="471">
        <v>0</v>
      </c>
      <c r="J1414" s="471"/>
    </row>
    <row r="1415" spans="1:10" ht="51" outlineLevel="4">
      <c r="A1415" s="472" t="s">
        <v>876</v>
      </c>
      <c r="B1415" s="473" t="s">
        <v>2133</v>
      </c>
      <c r="C1415" s="474" t="s">
        <v>1058</v>
      </c>
      <c r="D1415" s="473" t="s">
        <v>1059</v>
      </c>
      <c r="E1415" s="475">
        <v>1710</v>
      </c>
      <c r="F1415" s="475">
        <v>1710</v>
      </c>
      <c r="G1415" s="475">
        <v>0</v>
      </c>
      <c r="H1415" s="475">
        <v>0</v>
      </c>
      <c r="I1415" s="471">
        <v>0</v>
      </c>
      <c r="J1415" s="471"/>
    </row>
    <row r="1416" spans="1:10" ht="38.25" outlineLevel="2">
      <c r="A1416" s="462" t="s">
        <v>2134</v>
      </c>
      <c r="B1416" s="463" t="s">
        <v>2135</v>
      </c>
      <c r="C1416" s="464"/>
      <c r="D1416" s="463"/>
      <c r="E1416" s="465">
        <v>34812.063249999999</v>
      </c>
      <c r="F1416" s="465">
        <v>34113.363250000002</v>
      </c>
      <c r="G1416" s="465">
        <v>4171.87255</v>
      </c>
      <c r="H1416" s="465">
        <v>3938.5092500000001</v>
      </c>
      <c r="I1416" s="466">
        <v>11.31</v>
      </c>
      <c r="J1416" s="466"/>
    </row>
    <row r="1417" spans="1:10" ht="51" outlineLevel="3">
      <c r="A1417" s="467" t="s">
        <v>876</v>
      </c>
      <c r="B1417" s="468" t="s">
        <v>2136</v>
      </c>
      <c r="C1417" s="469"/>
      <c r="D1417" s="468"/>
      <c r="E1417" s="470">
        <v>27196.2</v>
      </c>
      <c r="F1417" s="470">
        <v>26497.5</v>
      </c>
      <c r="G1417" s="470">
        <v>3054.4650000000001</v>
      </c>
      <c r="H1417" s="470">
        <v>3054.4650000000001</v>
      </c>
      <c r="I1417" s="471">
        <v>11.23</v>
      </c>
      <c r="J1417" s="471"/>
    </row>
    <row r="1418" spans="1:10" ht="51" outlineLevel="4">
      <c r="A1418" s="472" t="s">
        <v>876</v>
      </c>
      <c r="B1418" s="473" t="s">
        <v>2136</v>
      </c>
      <c r="C1418" s="474" t="s">
        <v>1517</v>
      </c>
      <c r="D1418" s="473" t="s">
        <v>1518</v>
      </c>
      <c r="E1418" s="475">
        <v>142.5</v>
      </c>
      <c r="F1418" s="475">
        <v>142.5</v>
      </c>
      <c r="G1418" s="475">
        <v>0</v>
      </c>
      <c r="H1418" s="475">
        <v>0</v>
      </c>
      <c r="I1418" s="471">
        <v>0</v>
      </c>
      <c r="J1418" s="471"/>
    </row>
    <row r="1419" spans="1:10" ht="51" outlineLevel="4">
      <c r="A1419" s="472" t="s">
        <v>876</v>
      </c>
      <c r="B1419" s="473" t="s">
        <v>2136</v>
      </c>
      <c r="C1419" s="474" t="s">
        <v>726</v>
      </c>
      <c r="D1419" s="473" t="s">
        <v>727</v>
      </c>
      <c r="E1419" s="475">
        <v>17732.7</v>
      </c>
      <c r="F1419" s="475">
        <v>17034</v>
      </c>
      <c r="G1419" s="475">
        <v>3054.4650000000001</v>
      </c>
      <c r="H1419" s="475">
        <v>3054.4650000000001</v>
      </c>
      <c r="I1419" s="471">
        <v>17.23</v>
      </c>
      <c r="J1419" s="471"/>
    </row>
    <row r="1420" spans="1:10" ht="51" outlineLevel="4">
      <c r="A1420" s="472" t="s">
        <v>876</v>
      </c>
      <c r="B1420" s="473" t="s">
        <v>2136</v>
      </c>
      <c r="C1420" s="474" t="s">
        <v>1058</v>
      </c>
      <c r="D1420" s="473" t="s">
        <v>1059</v>
      </c>
      <c r="E1420" s="475">
        <v>3055</v>
      </c>
      <c r="F1420" s="475">
        <v>3055</v>
      </c>
      <c r="G1420" s="475">
        <v>0</v>
      </c>
      <c r="H1420" s="475">
        <v>0</v>
      </c>
      <c r="I1420" s="471">
        <v>0</v>
      </c>
      <c r="J1420" s="471"/>
    </row>
    <row r="1421" spans="1:10" ht="51" outlineLevel="4">
      <c r="A1421" s="472" t="s">
        <v>876</v>
      </c>
      <c r="B1421" s="473" t="s">
        <v>2136</v>
      </c>
      <c r="C1421" s="474" t="s">
        <v>2023</v>
      </c>
      <c r="D1421" s="473" t="s">
        <v>2024</v>
      </c>
      <c r="E1421" s="475">
        <v>6266</v>
      </c>
      <c r="F1421" s="475">
        <v>6266</v>
      </c>
      <c r="G1421" s="475">
        <v>0</v>
      </c>
      <c r="H1421" s="475">
        <v>0</v>
      </c>
      <c r="I1421" s="471">
        <v>0</v>
      </c>
      <c r="J1421" s="471"/>
    </row>
    <row r="1422" spans="1:10" ht="114.75" outlineLevel="3">
      <c r="A1422" s="467" t="s">
        <v>2137</v>
      </c>
      <c r="B1422" s="468" t="s">
        <v>2138</v>
      </c>
      <c r="C1422" s="469"/>
      <c r="D1422" s="468"/>
      <c r="E1422" s="470">
        <v>3357</v>
      </c>
      <c r="F1422" s="470">
        <v>3357</v>
      </c>
      <c r="G1422" s="470">
        <v>939.95230000000004</v>
      </c>
      <c r="H1422" s="470">
        <v>881.32084999999995</v>
      </c>
      <c r="I1422" s="471">
        <v>26.25</v>
      </c>
      <c r="J1422" s="471"/>
    </row>
    <row r="1423" spans="1:10" ht="114.75" outlineLevel="4">
      <c r="A1423" s="472" t="s">
        <v>2137</v>
      </c>
      <c r="B1423" s="473" t="s">
        <v>2138</v>
      </c>
      <c r="C1423" s="474" t="s">
        <v>2139</v>
      </c>
      <c r="D1423" s="473" t="s">
        <v>2140</v>
      </c>
      <c r="E1423" s="475">
        <v>3357</v>
      </c>
      <c r="F1423" s="475">
        <v>3357</v>
      </c>
      <c r="G1423" s="475">
        <v>939.95230000000004</v>
      </c>
      <c r="H1423" s="475">
        <v>881.32084999999995</v>
      </c>
      <c r="I1423" s="471">
        <v>26.25</v>
      </c>
      <c r="J1423" s="476" t="s">
        <v>10</v>
      </c>
    </row>
    <row r="1424" spans="1:10" ht="51" outlineLevel="3">
      <c r="A1424" s="467" t="s">
        <v>2141</v>
      </c>
      <c r="B1424" s="468" t="s">
        <v>2142</v>
      </c>
      <c r="C1424" s="469"/>
      <c r="D1424" s="468"/>
      <c r="E1424" s="470">
        <v>177.45525000000001</v>
      </c>
      <c r="F1424" s="470">
        <v>177.45525000000001</v>
      </c>
      <c r="G1424" s="470">
        <v>177.45525000000001</v>
      </c>
      <c r="H1424" s="470">
        <v>2.7233999999999998</v>
      </c>
      <c r="I1424" s="471">
        <v>1.53</v>
      </c>
      <c r="J1424" s="471"/>
    </row>
    <row r="1425" spans="1:10" ht="51" outlineLevel="4">
      <c r="A1425" s="472" t="s">
        <v>2141</v>
      </c>
      <c r="B1425" s="473" t="s">
        <v>2142</v>
      </c>
      <c r="C1425" s="474" t="s">
        <v>2139</v>
      </c>
      <c r="D1425" s="473" t="s">
        <v>2140</v>
      </c>
      <c r="E1425" s="475">
        <v>177.45525000000001</v>
      </c>
      <c r="F1425" s="475">
        <v>177.45525000000001</v>
      </c>
      <c r="G1425" s="475">
        <v>177.45525000000001</v>
      </c>
      <c r="H1425" s="475">
        <v>2.7233999999999998</v>
      </c>
      <c r="I1425" s="471">
        <v>1.53</v>
      </c>
      <c r="J1425" s="471"/>
    </row>
    <row r="1426" spans="1:10" ht="25.5" outlineLevel="3">
      <c r="A1426" s="467" t="s">
        <v>2143</v>
      </c>
      <c r="B1426" s="468" t="s">
        <v>2144</v>
      </c>
      <c r="C1426" s="469"/>
      <c r="D1426" s="468"/>
      <c r="E1426" s="470">
        <v>4081.4079999999999</v>
      </c>
      <c r="F1426" s="470">
        <v>4081.4079999999999</v>
      </c>
      <c r="G1426" s="470">
        <v>0</v>
      </c>
      <c r="H1426" s="470">
        <v>0</v>
      </c>
      <c r="I1426" s="471">
        <v>0</v>
      </c>
      <c r="J1426" s="471"/>
    </row>
    <row r="1427" spans="1:10" ht="25.5" outlineLevel="4">
      <c r="A1427" s="472" t="s">
        <v>2143</v>
      </c>
      <c r="B1427" s="473" t="s">
        <v>2144</v>
      </c>
      <c r="C1427" s="474" t="s">
        <v>2023</v>
      </c>
      <c r="D1427" s="473" t="s">
        <v>2024</v>
      </c>
      <c r="E1427" s="475">
        <v>4081.4079999999999</v>
      </c>
      <c r="F1427" s="475">
        <v>4081.4079999999999</v>
      </c>
      <c r="G1427" s="475">
        <v>0</v>
      </c>
      <c r="H1427" s="475">
        <v>0</v>
      </c>
      <c r="I1427" s="471">
        <v>0</v>
      </c>
      <c r="J1427" s="471"/>
    </row>
    <row r="1428" spans="1:10" ht="51" outlineLevel="2">
      <c r="A1428" s="462" t="s">
        <v>2145</v>
      </c>
      <c r="B1428" s="463" t="s">
        <v>2146</v>
      </c>
      <c r="C1428" s="464"/>
      <c r="D1428" s="463"/>
      <c r="E1428" s="465">
        <v>180</v>
      </c>
      <c r="F1428" s="465">
        <v>180</v>
      </c>
      <c r="G1428" s="465">
        <v>0</v>
      </c>
      <c r="H1428" s="465">
        <v>0</v>
      </c>
      <c r="I1428" s="466">
        <v>0</v>
      </c>
      <c r="J1428" s="466"/>
    </row>
    <row r="1429" spans="1:10" ht="25.5" outlineLevel="3">
      <c r="A1429" s="467" t="s">
        <v>728</v>
      </c>
      <c r="B1429" s="468" t="s">
        <v>2147</v>
      </c>
      <c r="C1429" s="469"/>
      <c r="D1429" s="468"/>
      <c r="E1429" s="470">
        <v>180</v>
      </c>
      <c r="F1429" s="470">
        <v>180</v>
      </c>
      <c r="G1429" s="470">
        <v>0</v>
      </c>
      <c r="H1429" s="470">
        <v>0</v>
      </c>
      <c r="I1429" s="471">
        <v>0</v>
      </c>
      <c r="J1429" s="471"/>
    </row>
    <row r="1430" spans="1:10" ht="25.5" outlineLevel="4">
      <c r="A1430" s="472" t="s">
        <v>728</v>
      </c>
      <c r="B1430" s="473" t="s">
        <v>2147</v>
      </c>
      <c r="C1430" s="474" t="s">
        <v>2023</v>
      </c>
      <c r="D1430" s="473" t="s">
        <v>2024</v>
      </c>
      <c r="E1430" s="475">
        <v>180</v>
      </c>
      <c r="F1430" s="475">
        <v>180</v>
      </c>
      <c r="G1430" s="475">
        <v>0</v>
      </c>
      <c r="H1430" s="475">
        <v>0</v>
      </c>
      <c r="I1430" s="471">
        <v>0</v>
      </c>
      <c r="J1430" s="471"/>
    </row>
    <row r="1431" spans="1:10" ht="38.25" outlineLevel="2">
      <c r="A1431" s="462" t="s">
        <v>2148</v>
      </c>
      <c r="B1431" s="463" t="s">
        <v>2149</v>
      </c>
      <c r="C1431" s="464"/>
      <c r="D1431" s="463"/>
      <c r="E1431" s="465">
        <v>144998.97099999999</v>
      </c>
      <c r="F1431" s="465">
        <v>144998.97099999999</v>
      </c>
      <c r="G1431" s="465">
        <v>77904.157999999996</v>
      </c>
      <c r="H1431" s="465">
        <v>77904.157999999996</v>
      </c>
      <c r="I1431" s="466">
        <v>53.73</v>
      </c>
      <c r="J1431" s="466"/>
    </row>
    <row r="1432" spans="1:10" ht="76.5" outlineLevel="3">
      <c r="A1432" s="467" t="s">
        <v>717</v>
      </c>
      <c r="B1432" s="468" t="s">
        <v>2150</v>
      </c>
      <c r="C1432" s="469"/>
      <c r="D1432" s="468"/>
      <c r="E1432" s="470">
        <v>142207.47099999999</v>
      </c>
      <c r="F1432" s="470">
        <v>142207.47099999999</v>
      </c>
      <c r="G1432" s="470">
        <v>77364.157999999996</v>
      </c>
      <c r="H1432" s="470">
        <v>77364.157999999996</v>
      </c>
      <c r="I1432" s="471">
        <v>54.4</v>
      </c>
      <c r="J1432" s="471"/>
    </row>
    <row r="1433" spans="1:10" ht="76.5" outlineLevel="4">
      <c r="A1433" s="472" t="s">
        <v>717</v>
      </c>
      <c r="B1433" s="473" t="s">
        <v>2150</v>
      </c>
      <c r="C1433" s="474" t="s">
        <v>2023</v>
      </c>
      <c r="D1433" s="473" t="s">
        <v>2024</v>
      </c>
      <c r="E1433" s="475">
        <v>142207.47099999999</v>
      </c>
      <c r="F1433" s="475">
        <v>142207.47099999999</v>
      </c>
      <c r="G1433" s="475">
        <v>77364.157999999996</v>
      </c>
      <c r="H1433" s="475">
        <v>77364.157999999996</v>
      </c>
      <c r="I1433" s="471">
        <v>54.4</v>
      </c>
      <c r="J1433" s="471"/>
    </row>
    <row r="1434" spans="1:10" ht="63.75" outlineLevel="3">
      <c r="A1434" s="467" t="s">
        <v>62</v>
      </c>
      <c r="B1434" s="468" t="s">
        <v>2151</v>
      </c>
      <c r="C1434" s="469"/>
      <c r="D1434" s="468"/>
      <c r="E1434" s="470">
        <v>2791.5</v>
      </c>
      <c r="F1434" s="470">
        <v>2791.5</v>
      </c>
      <c r="G1434" s="470">
        <v>540</v>
      </c>
      <c r="H1434" s="470">
        <v>540</v>
      </c>
      <c r="I1434" s="471">
        <v>19.34</v>
      </c>
      <c r="J1434" s="471"/>
    </row>
    <row r="1435" spans="1:10" ht="63.75" outlineLevel="4">
      <c r="A1435" s="472" t="s">
        <v>62</v>
      </c>
      <c r="B1435" s="473" t="s">
        <v>2151</v>
      </c>
      <c r="C1435" s="474" t="s">
        <v>2023</v>
      </c>
      <c r="D1435" s="473" t="s">
        <v>2024</v>
      </c>
      <c r="E1435" s="475">
        <v>2791.5</v>
      </c>
      <c r="F1435" s="475">
        <v>2791.5</v>
      </c>
      <c r="G1435" s="475">
        <v>540</v>
      </c>
      <c r="H1435" s="475">
        <v>540</v>
      </c>
      <c r="I1435" s="471">
        <v>19.34</v>
      </c>
      <c r="J1435" s="471"/>
    </row>
    <row r="1436" spans="1:10" ht="63.75" outlineLevel="2">
      <c r="A1436" s="462" t="s">
        <v>2152</v>
      </c>
      <c r="B1436" s="463" t="s">
        <v>2153</v>
      </c>
      <c r="C1436" s="464"/>
      <c r="D1436" s="463"/>
      <c r="E1436" s="465">
        <v>83070.711859999996</v>
      </c>
      <c r="F1436" s="465">
        <v>83070.711859999996</v>
      </c>
      <c r="G1436" s="465">
        <v>42764.102350000001</v>
      </c>
      <c r="H1436" s="465">
        <v>37422.495949999997</v>
      </c>
      <c r="I1436" s="466">
        <v>45.05</v>
      </c>
      <c r="J1436" s="466"/>
    </row>
    <row r="1437" spans="1:10" ht="25.5" outlineLevel="3">
      <c r="A1437" s="467" t="s">
        <v>888</v>
      </c>
      <c r="B1437" s="468" t="s">
        <v>2154</v>
      </c>
      <c r="C1437" s="469"/>
      <c r="D1437" s="468"/>
      <c r="E1437" s="470">
        <v>42378.923860000003</v>
      </c>
      <c r="F1437" s="470">
        <v>42378.923860000003</v>
      </c>
      <c r="G1437" s="470">
        <v>22734.884669999999</v>
      </c>
      <c r="H1437" s="470">
        <v>17714.715069999998</v>
      </c>
      <c r="I1437" s="471">
        <v>41.8</v>
      </c>
      <c r="J1437" s="471"/>
    </row>
    <row r="1438" spans="1:10" ht="25.5" outlineLevel="4">
      <c r="A1438" s="472" t="s">
        <v>888</v>
      </c>
      <c r="B1438" s="473" t="s">
        <v>2154</v>
      </c>
      <c r="C1438" s="474" t="s">
        <v>2023</v>
      </c>
      <c r="D1438" s="473" t="s">
        <v>2024</v>
      </c>
      <c r="E1438" s="475">
        <v>42378.923860000003</v>
      </c>
      <c r="F1438" s="475">
        <v>42378.923860000003</v>
      </c>
      <c r="G1438" s="475">
        <v>22734.884669999999</v>
      </c>
      <c r="H1438" s="475">
        <v>17714.715069999998</v>
      </c>
      <c r="I1438" s="471">
        <v>41.8</v>
      </c>
      <c r="J1438" s="471"/>
    </row>
    <row r="1439" spans="1:10" ht="38.25" outlineLevel="3">
      <c r="A1439" s="467" t="s">
        <v>869</v>
      </c>
      <c r="B1439" s="468" t="s">
        <v>2155</v>
      </c>
      <c r="C1439" s="469"/>
      <c r="D1439" s="468"/>
      <c r="E1439" s="470">
        <v>950</v>
      </c>
      <c r="F1439" s="470">
        <v>950</v>
      </c>
      <c r="G1439" s="470">
        <v>555.97245999999996</v>
      </c>
      <c r="H1439" s="470">
        <v>454.19495999999998</v>
      </c>
      <c r="I1439" s="471">
        <v>47.81</v>
      </c>
      <c r="J1439" s="471"/>
    </row>
    <row r="1440" spans="1:10" ht="38.25" outlineLevel="4">
      <c r="A1440" s="472" t="s">
        <v>869</v>
      </c>
      <c r="B1440" s="473" t="s">
        <v>2155</v>
      </c>
      <c r="C1440" s="474" t="s">
        <v>2023</v>
      </c>
      <c r="D1440" s="473" t="s">
        <v>2024</v>
      </c>
      <c r="E1440" s="475">
        <v>950</v>
      </c>
      <c r="F1440" s="475">
        <v>950</v>
      </c>
      <c r="G1440" s="475">
        <v>555.97245999999996</v>
      </c>
      <c r="H1440" s="475">
        <v>454.19495999999998</v>
      </c>
      <c r="I1440" s="471">
        <v>47.81</v>
      </c>
      <c r="J1440" s="471"/>
    </row>
    <row r="1441" spans="1:10" ht="76.5" outlineLevel="3">
      <c r="A1441" s="467" t="s">
        <v>717</v>
      </c>
      <c r="B1441" s="468" t="s">
        <v>2156</v>
      </c>
      <c r="C1441" s="469"/>
      <c r="D1441" s="468"/>
      <c r="E1441" s="470">
        <v>38391.788</v>
      </c>
      <c r="F1441" s="470">
        <v>38391.788</v>
      </c>
      <c r="G1441" s="470">
        <v>19173.245220000001</v>
      </c>
      <c r="H1441" s="470">
        <v>19173.245220000001</v>
      </c>
      <c r="I1441" s="471">
        <v>49.94</v>
      </c>
      <c r="J1441" s="471"/>
    </row>
    <row r="1442" spans="1:10" ht="76.5" outlineLevel="4">
      <c r="A1442" s="472" t="s">
        <v>717</v>
      </c>
      <c r="B1442" s="473" t="s">
        <v>2156</v>
      </c>
      <c r="C1442" s="474" t="s">
        <v>2023</v>
      </c>
      <c r="D1442" s="473" t="s">
        <v>2024</v>
      </c>
      <c r="E1442" s="475">
        <v>38391.788</v>
      </c>
      <c r="F1442" s="475">
        <v>38391.788</v>
      </c>
      <c r="G1442" s="475">
        <v>19173.245220000001</v>
      </c>
      <c r="H1442" s="475">
        <v>19173.245220000001</v>
      </c>
      <c r="I1442" s="471">
        <v>49.94</v>
      </c>
      <c r="J1442" s="471"/>
    </row>
    <row r="1443" spans="1:10" ht="63.75" outlineLevel="3">
      <c r="A1443" s="467" t="s">
        <v>62</v>
      </c>
      <c r="B1443" s="468" t="s">
        <v>2157</v>
      </c>
      <c r="C1443" s="469"/>
      <c r="D1443" s="468"/>
      <c r="E1443" s="470">
        <v>1200</v>
      </c>
      <c r="F1443" s="470">
        <v>1200</v>
      </c>
      <c r="G1443" s="470">
        <v>300</v>
      </c>
      <c r="H1443" s="470">
        <v>80.340699999999998</v>
      </c>
      <c r="I1443" s="471">
        <v>6.7</v>
      </c>
      <c r="J1443" s="471"/>
    </row>
    <row r="1444" spans="1:10" ht="63.75" outlineLevel="4">
      <c r="A1444" s="472" t="s">
        <v>62</v>
      </c>
      <c r="B1444" s="473" t="s">
        <v>2157</v>
      </c>
      <c r="C1444" s="474" t="s">
        <v>2023</v>
      </c>
      <c r="D1444" s="473" t="s">
        <v>2024</v>
      </c>
      <c r="E1444" s="475">
        <v>1200</v>
      </c>
      <c r="F1444" s="475">
        <v>1200</v>
      </c>
      <c r="G1444" s="475">
        <v>300</v>
      </c>
      <c r="H1444" s="475">
        <v>80.340699999999998</v>
      </c>
      <c r="I1444" s="471">
        <v>6.7</v>
      </c>
      <c r="J1444" s="471"/>
    </row>
    <row r="1445" spans="1:10" ht="51" outlineLevel="3">
      <c r="A1445" s="467" t="s">
        <v>876</v>
      </c>
      <c r="B1445" s="468" t="s">
        <v>2158</v>
      </c>
      <c r="C1445" s="469"/>
      <c r="D1445" s="468"/>
      <c r="E1445" s="470">
        <v>150</v>
      </c>
      <c r="F1445" s="470">
        <v>150</v>
      </c>
      <c r="G1445" s="470">
        <v>0</v>
      </c>
      <c r="H1445" s="470">
        <v>0</v>
      </c>
      <c r="I1445" s="471">
        <v>0</v>
      </c>
      <c r="J1445" s="471"/>
    </row>
    <row r="1446" spans="1:10" ht="51" outlineLevel="4">
      <c r="A1446" s="472" t="s">
        <v>876</v>
      </c>
      <c r="B1446" s="473" t="s">
        <v>2158</v>
      </c>
      <c r="C1446" s="474" t="s">
        <v>2023</v>
      </c>
      <c r="D1446" s="473" t="s">
        <v>2024</v>
      </c>
      <c r="E1446" s="475">
        <v>150</v>
      </c>
      <c r="F1446" s="475">
        <v>150</v>
      </c>
      <c r="G1446" s="475">
        <v>0</v>
      </c>
      <c r="H1446" s="475">
        <v>0</v>
      </c>
      <c r="I1446" s="471">
        <v>0</v>
      </c>
      <c r="J1446" s="471"/>
    </row>
    <row r="1447" spans="1:10" ht="76.5" outlineLevel="2">
      <c r="A1447" s="462" t="s">
        <v>2159</v>
      </c>
      <c r="B1447" s="463" t="s">
        <v>2160</v>
      </c>
      <c r="C1447" s="464"/>
      <c r="D1447" s="463"/>
      <c r="E1447" s="465">
        <v>139491.54889999999</v>
      </c>
      <c r="F1447" s="465">
        <v>125132.05719000001</v>
      </c>
      <c r="G1447" s="465">
        <v>56662.453580000001</v>
      </c>
      <c r="H1447" s="465">
        <v>52340.695570000003</v>
      </c>
      <c r="I1447" s="466">
        <v>37.520000000000003</v>
      </c>
      <c r="J1447" s="466"/>
    </row>
    <row r="1448" spans="1:10" ht="25.5" outlineLevel="3">
      <c r="A1448" s="467" t="s">
        <v>888</v>
      </c>
      <c r="B1448" s="468" t="s">
        <v>2161</v>
      </c>
      <c r="C1448" s="469"/>
      <c r="D1448" s="468"/>
      <c r="E1448" s="470">
        <v>33073.878219999999</v>
      </c>
      <c r="F1448" s="470">
        <v>30229.68651</v>
      </c>
      <c r="G1448" s="470">
        <v>10920</v>
      </c>
      <c r="H1448" s="470">
        <v>7429.4419900000003</v>
      </c>
      <c r="I1448" s="471">
        <v>22.46</v>
      </c>
      <c r="J1448" s="471"/>
    </row>
    <row r="1449" spans="1:10" ht="25.5" outlineLevel="4">
      <c r="A1449" s="472" t="s">
        <v>888</v>
      </c>
      <c r="B1449" s="473" t="s">
        <v>2161</v>
      </c>
      <c r="C1449" s="474" t="s">
        <v>1656</v>
      </c>
      <c r="D1449" s="473" t="s">
        <v>1657</v>
      </c>
      <c r="E1449" s="475">
        <v>33073.878219999999</v>
      </c>
      <c r="F1449" s="475">
        <v>30229.68651</v>
      </c>
      <c r="G1449" s="475">
        <v>10920</v>
      </c>
      <c r="H1449" s="475">
        <v>7429.4419900000003</v>
      </c>
      <c r="I1449" s="471">
        <v>22.46</v>
      </c>
      <c r="J1449" s="471"/>
    </row>
    <row r="1450" spans="1:10" ht="38.25" outlineLevel="3">
      <c r="A1450" s="467" t="s">
        <v>869</v>
      </c>
      <c r="B1450" s="468" t="s">
        <v>2162</v>
      </c>
      <c r="C1450" s="469"/>
      <c r="D1450" s="468"/>
      <c r="E1450" s="470">
        <v>300.3</v>
      </c>
      <c r="F1450" s="470">
        <v>300</v>
      </c>
      <c r="G1450" s="470">
        <v>153.34117000000001</v>
      </c>
      <c r="H1450" s="470">
        <v>53.341169999999998</v>
      </c>
      <c r="I1450" s="471">
        <v>17.760000000000002</v>
      </c>
      <c r="J1450" s="471"/>
    </row>
    <row r="1451" spans="1:10" ht="38.25" outlineLevel="4">
      <c r="A1451" s="472" t="s">
        <v>869</v>
      </c>
      <c r="B1451" s="473" t="s">
        <v>2162</v>
      </c>
      <c r="C1451" s="474" t="s">
        <v>1656</v>
      </c>
      <c r="D1451" s="473" t="s">
        <v>1657</v>
      </c>
      <c r="E1451" s="475">
        <v>300.3</v>
      </c>
      <c r="F1451" s="475">
        <v>300</v>
      </c>
      <c r="G1451" s="475">
        <v>153.34117000000001</v>
      </c>
      <c r="H1451" s="475">
        <v>53.341169999999998</v>
      </c>
      <c r="I1451" s="471">
        <v>17.760000000000002</v>
      </c>
      <c r="J1451" s="471"/>
    </row>
    <row r="1452" spans="1:10" ht="63.75" outlineLevel="3">
      <c r="A1452" s="467" t="s">
        <v>62</v>
      </c>
      <c r="B1452" s="468" t="s">
        <v>2163</v>
      </c>
      <c r="C1452" s="469"/>
      <c r="D1452" s="468"/>
      <c r="E1452" s="470">
        <v>500</v>
      </c>
      <c r="F1452" s="470">
        <v>0</v>
      </c>
      <c r="G1452" s="470">
        <v>0</v>
      </c>
      <c r="H1452" s="470">
        <v>0</v>
      </c>
      <c r="I1452" s="471">
        <v>0</v>
      </c>
      <c r="J1452" s="471"/>
    </row>
    <row r="1453" spans="1:10" ht="63.75" outlineLevel="4">
      <c r="A1453" s="472" t="s">
        <v>62</v>
      </c>
      <c r="B1453" s="473" t="s">
        <v>2163</v>
      </c>
      <c r="C1453" s="474" t="s">
        <v>1656</v>
      </c>
      <c r="D1453" s="473" t="s">
        <v>1657</v>
      </c>
      <c r="E1453" s="475">
        <v>500</v>
      </c>
      <c r="F1453" s="475">
        <v>0</v>
      </c>
      <c r="G1453" s="475">
        <v>0</v>
      </c>
      <c r="H1453" s="475">
        <v>0</v>
      </c>
      <c r="I1453" s="471">
        <v>0</v>
      </c>
      <c r="J1453" s="471"/>
    </row>
    <row r="1454" spans="1:10" ht="25.5" outlineLevel="3">
      <c r="A1454" s="467" t="s">
        <v>728</v>
      </c>
      <c r="B1454" s="468" t="s">
        <v>2164</v>
      </c>
      <c r="C1454" s="469"/>
      <c r="D1454" s="468"/>
      <c r="E1454" s="470">
        <v>4260</v>
      </c>
      <c r="F1454" s="470">
        <v>4260</v>
      </c>
      <c r="G1454" s="470">
        <v>0</v>
      </c>
      <c r="H1454" s="470">
        <v>0</v>
      </c>
      <c r="I1454" s="471">
        <v>0</v>
      </c>
      <c r="J1454" s="471"/>
    </row>
    <row r="1455" spans="1:10" ht="25.5" outlineLevel="4">
      <c r="A1455" s="472" t="s">
        <v>728</v>
      </c>
      <c r="B1455" s="473" t="s">
        <v>2164</v>
      </c>
      <c r="C1455" s="474" t="s">
        <v>1656</v>
      </c>
      <c r="D1455" s="473" t="s">
        <v>1657</v>
      </c>
      <c r="E1455" s="475">
        <v>4260</v>
      </c>
      <c r="F1455" s="475">
        <v>4260</v>
      </c>
      <c r="G1455" s="475">
        <v>0</v>
      </c>
      <c r="H1455" s="475">
        <v>0</v>
      </c>
      <c r="I1455" s="471">
        <v>0</v>
      </c>
      <c r="J1455" s="471"/>
    </row>
    <row r="1456" spans="1:10" ht="25.5" outlineLevel="3">
      <c r="A1456" s="467" t="s">
        <v>721</v>
      </c>
      <c r="B1456" s="468" t="s">
        <v>2165</v>
      </c>
      <c r="C1456" s="469"/>
      <c r="D1456" s="468"/>
      <c r="E1456" s="470">
        <v>20915</v>
      </c>
      <c r="F1456" s="470">
        <v>9900</v>
      </c>
      <c r="G1456" s="470">
        <v>8300</v>
      </c>
      <c r="H1456" s="470">
        <v>8300</v>
      </c>
      <c r="I1456" s="471">
        <v>39.68</v>
      </c>
      <c r="J1456" s="471"/>
    </row>
    <row r="1457" spans="1:10" ht="25.5" outlineLevel="4">
      <c r="A1457" s="472" t="s">
        <v>721</v>
      </c>
      <c r="B1457" s="473" t="s">
        <v>2165</v>
      </c>
      <c r="C1457" s="474" t="s">
        <v>1656</v>
      </c>
      <c r="D1457" s="473" t="s">
        <v>1657</v>
      </c>
      <c r="E1457" s="475">
        <v>20915</v>
      </c>
      <c r="F1457" s="475">
        <v>9900</v>
      </c>
      <c r="G1457" s="475">
        <v>8300</v>
      </c>
      <c r="H1457" s="475">
        <v>8300</v>
      </c>
      <c r="I1457" s="471">
        <v>39.68</v>
      </c>
      <c r="J1457" s="471"/>
    </row>
    <row r="1458" spans="1:10" ht="51" outlineLevel="3">
      <c r="A1458" s="467" t="s">
        <v>2166</v>
      </c>
      <c r="B1458" s="468" t="s">
        <v>2167</v>
      </c>
      <c r="C1458" s="469"/>
      <c r="D1458" s="468"/>
      <c r="E1458" s="470">
        <v>41546.1</v>
      </c>
      <c r="F1458" s="470">
        <v>41546.1</v>
      </c>
      <c r="G1458" s="470">
        <v>12250</v>
      </c>
      <c r="H1458" s="470">
        <v>11518.8</v>
      </c>
      <c r="I1458" s="471">
        <v>27.73</v>
      </c>
      <c r="J1458" s="471"/>
    </row>
    <row r="1459" spans="1:10" ht="51" outlineLevel="4">
      <c r="A1459" s="472" t="s">
        <v>2166</v>
      </c>
      <c r="B1459" s="473" t="s">
        <v>2167</v>
      </c>
      <c r="C1459" s="474" t="s">
        <v>1656</v>
      </c>
      <c r="D1459" s="473" t="s">
        <v>1657</v>
      </c>
      <c r="E1459" s="475">
        <v>41546.1</v>
      </c>
      <c r="F1459" s="475">
        <v>41546.1</v>
      </c>
      <c r="G1459" s="475">
        <v>12250</v>
      </c>
      <c r="H1459" s="475">
        <v>11518.8</v>
      </c>
      <c r="I1459" s="471">
        <v>27.73</v>
      </c>
      <c r="J1459" s="471"/>
    </row>
    <row r="1460" spans="1:10" ht="38.25" outlineLevel="3">
      <c r="A1460" s="467" t="s">
        <v>2168</v>
      </c>
      <c r="B1460" s="468" t="s">
        <v>2169</v>
      </c>
      <c r="C1460" s="469"/>
      <c r="D1460" s="468"/>
      <c r="E1460" s="470">
        <v>38329.270680000001</v>
      </c>
      <c r="F1460" s="470">
        <v>38329.270680000001</v>
      </c>
      <c r="G1460" s="470">
        <v>24472.112410000002</v>
      </c>
      <c r="H1460" s="470">
        <v>24472.112410000002</v>
      </c>
      <c r="I1460" s="471">
        <v>63.85</v>
      </c>
      <c r="J1460" s="471"/>
    </row>
    <row r="1461" spans="1:10" ht="38.25" outlineLevel="4">
      <c r="A1461" s="472" t="s">
        <v>2168</v>
      </c>
      <c r="B1461" s="473" t="s">
        <v>2169</v>
      </c>
      <c r="C1461" s="474" t="s">
        <v>1656</v>
      </c>
      <c r="D1461" s="473" t="s">
        <v>1657</v>
      </c>
      <c r="E1461" s="475">
        <v>38329.270680000001</v>
      </c>
      <c r="F1461" s="475">
        <v>38329.270680000001</v>
      </c>
      <c r="G1461" s="475">
        <v>24472.112410000002</v>
      </c>
      <c r="H1461" s="475">
        <v>24472.112410000002</v>
      </c>
      <c r="I1461" s="471">
        <v>63.85</v>
      </c>
      <c r="J1461" s="471"/>
    </row>
    <row r="1462" spans="1:10" ht="63.75" outlineLevel="3">
      <c r="A1462" s="467" t="s">
        <v>62</v>
      </c>
      <c r="B1462" s="468" t="s">
        <v>2170</v>
      </c>
      <c r="C1462" s="469"/>
      <c r="D1462" s="468"/>
      <c r="E1462" s="470">
        <v>567</v>
      </c>
      <c r="F1462" s="470">
        <v>567</v>
      </c>
      <c r="G1462" s="470">
        <v>567</v>
      </c>
      <c r="H1462" s="470">
        <v>567</v>
      </c>
      <c r="I1462" s="471">
        <v>100</v>
      </c>
      <c r="J1462" s="471"/>
    </row>
    <row r="1463" spans="1:10" ht="63.75" outlineLevel="4">
      <c r="A1463" s="472" t="s">
        <v>62</v>
      </c>
      <c r="B1463" s="473" t="s">
        <v>2170</v>
      </c>
      <c r="C1463" s="474" t="s">
        <v>1656</v>
      </c>
      <c r="D1463" s="473" t="s">
        <v>1657</v>
      </c>
      <c r="E1463" s="475">
        <v>567</v>
      </c>
      <c r="F1463" s="475">
        <v>567</v>
      </c>
      <c r="G1463" s="475">
        <v>567</v>
      </c>
      <c r="H1463" s="475">
        <v>567</v>
      </c>
      <c r="I1463" s="471">
        <v>100</v>
      </c>
      <c r="J1463" s="471"/>
    </row>
    <row r="1464" spans="1:10" ht="25.5" outlineLevel="2">
      <c r="A1464" s="462" t="s">
        <v>2171</v>
      </c>
      <c r="B1464" s="463" t="s">
        <v>2172</v>
      </c>
      <c r="C1464" s="464"/>
      <c r="D1464" s="463"/>
      <c r="E1464" s="465">
        <v>113734</v>
      </c>
      <c r="F1464" s="465">
        <v>21825.26</v>
      </c>
      <c r="G1464" s="465">
        <v>0</v>
      </c>
      <c r="H1464" s="465">
        <v>0</v>
      </c>
      <c r="I1464" s="466">
        <v>0</v>
      </c>
      <c r="J1464" s="466"/>
    </row>
    <row r="1465" spans="1:10" ht="51" outlineLevel="3">
      <c r="A1465" s="467" t="s">
        <v>876</v>
      </c>
      <c r="B1465" s="468" t="s">
        <v>2173</v>
      </c>
      <c r="C1465" s="469"/>
      <c r="D1465" s="468"/>
      <c r="E1465" s="470">
        <v>113734</v>
      </c>
      <c r="F1465" s="470">
        <v>21825.26</v>
      </c>
      <c r="G1465" s="470">
        <v>0</v>
      </c>
      <c r="H1465" s="470">
        <v>0</v>
      </c>
      <c r="I1465" s="471">
        <v>0</v>
      </c>
      <c r="J1465" s="471"/>
    </row>
    <row r="1466" spans="1:10" ht="51" outlineLevel="4">
      <c r="A1466" s="472" t="s">
        <v>876</v>
      </c>
      <c r="B1466" s="473" t="s">
        <v>2173</v>
      </c>
      <c r="C1466" s="474" t="s">
        <v>2023</v>
      </c>
      <c r="D1466" s="473" t="s">
        <v>2024</v>
      </c>
      <c r="E1466" s="475">
        <v>113734</v>
      </c>
      <c r="F1466" s="475">
        <v>21825.26</v>
      </c>
      <c r="G1466" s="475">
        <v>0</v>
      </c>
      <c r="H1466" s="475">
        <v>0</v>
      </c>
      <c r="I1466" s="471">
        <v>0</v>
      </c>
      <c r="J1466" s="471"/>
    </row>
    <row r="1467" spans="1:10" ht="25.5" outlineLevel="2">
      <c r="A1467" s="462" t="s">
        <v>2174</v>
      </c>
      <c r="B1467" s="463" t="s">
        <v>2175</v>
      </c>
      <c r="C1467" s="464"/>
      <c r="D1467" s="463"/>
      <c r="E1467" s="465">
        <v>5900</v>
      </c>
      <c r="F1467" s="465">
        <v>5786.57</v>
      </c>
      <c r="G1467" s="465">
        <v>2946.44202</v>
      </c>
      <c r="H1467" s="465">
        <v>2411.0708500000001</v>
      </c>
      <c r="I1467" s="466">
        <v>40.869999999999997</v>
      </c>
      <c r="J1467" s="466"/>
    </row>
    <row r="1468" spans="1:10" ht="63.75" outlineLevel="3">
      <c r="A1468" s="467" t="s">
        <v>2176</v>
      </c>
      <c r="B1468" s="468" t="s">
        <v>2177</v>
      </c>
      <c r="C1468" s="469"/>
      <c r="D1468" s="468"/>
      <c r="E1468" s="470">
        <v>5900</v>
      </c>
      <c r="F1468" s="470">
        <v>5786.57</v>
      </c>
      <c r="G1468" s="470">
        <v>2946.44202</v>
      </c>
      <c r="H1468" s="470">
        <v>2411.0708500000001</v>
      </c>
      <c r="I1468" s="471">
        <v>40.869999999999997</v>
      </c>
      <c r="J1468" s="471"/>
    </row>
    <row r="1469" spans="1:10" ht="63.75" outlineLevel="4">
      <c r="A1469" s="472" t="s">
        <v>2176</v>
      </c>
      <c r="B1469" s="473" t="s">
        <v>2177</v>
      </c>
      <c r="C1469" s="474" t="s">
        <v>2023</v>
      </c>
      <c r="D1469" s="473" t="s">
        <v>2024</v>
      </c>
      <c r="E1469" s="475">
        <v>5900</v>
      </c>
      <c r="F1469" s="475">
        <v>5786.57</v>
      </c>
      <c r="G1469" s="475">
        <v>2946.44202</v>
      </c>
      <c r="H1469" s="475">
        <v>2411.0708500000001</v>
      </c>
      <c r="I1469" s="471">
        <v>40.869999999999997</v>
      </c>
      <c r="J1469" s="471"/>
    </row>
    <row r="1470" spans="1:10" ht="25.5" outlineLevel="2">
      <c r="A1470" s="462" t="s">
        <v>2178</v>
      </c>
      <c r="B1470" s="463" t="s">
        <v>2179</v>
      </c>
      <c r="C1470" s="464"/>
      <c r="D1470" s="463"/>
      <c r="E1470" s="465">
        <v>850</v>
      </c>
      <c r="F1470" s="465">
        <v>850</v>
      </c>
      <c r="G1470" s="465">
        <v>847.16489000000001</v>
      </c>
      <c r="H1470" s="465">
        <v>847.16489000000001</v>
      </c>
      <c r="I1470" s="466">
        <v>99.67</v>
      </c>
      <c r="J1470" s="466"/>
    </row>
    <row r="1471" spans="1:10" ht="63.75" outlineLevel="3">
      <c r="A1471" s="467" t="s">
        <v>2180</v>
      </c>
      <c r="B1471" s="468" t="s">
        <v>2181</v>
      </c>
      <c r="C1471" s="469"/>
      <c r="D1471" s="468"/>
      <c r="E1471" s="470">
        <v>850</v>
      </c>
      <c r="F1471" s="470">
        <v>850</v>
      </c>
      <c r="G1471" s="470">
        <v>847.16489000000001</v>
      </c>
      <c r="H1471" s="470">
        <v>847.16489000000001</v>
      </c>
      <c r="I1471" s="471">
        <v>99.67</v>
      </c>
      <c r="J1471" s="471"/>
    </row>
    <row r="1472" spans="1:10" ht="63.75" outlineLevel="4">
      <c r="A1472" s="472" t="s">
        <v>2180</v>
      </c>
      <c r="B1472" s="473" t="s">
        <v>2181</v>
      </c>
      <c r="C1472" s="474" t="s">
        <v>2023</v>
      </c>
      <c r="D1472" s="473" t="s">
        <v>2024</v>
      </c>
      <c r="E1472" s="475">
        <v>850</v>
      </c>
      <c r="F1472" s="475">
        <v>850</v>
      </c>
      <c r="G1472" s="475">
        <v>847.16489000000001</v>
      </c>
      <c r="H1472" s="475">
        <v>847.16489000000001</v>
      </c>
      <c r="I1472" s="471">
        <v>99.67</v>
      </c>
      <c r="J1472" s="471"/>
    </row>
    <row r="1473" spans="1:10" ht="25.5" outlineLevel="2">
      <c r="A1473" s="462" t="s">
        <v>2182</v>
      </c>
      <c r="B1473" s="463" t="s">
        <v>2183</v>
      </c>
      <c r="C1473" s="464"/>
      <c r="D1473" s="463"/>
      <c r="E1473" s="465">
        <v>39058.03875</v>
      </c>
      <c r="F1473" s="465">
        <v>38996.438750000001</v>
      </c>
      <c r="G1473" s="465">
        <v>17411.123469999999</v>
      </c>
      <c r="H1473" s="465">
        <v>9516.1044700000002</v>
      </c>
      <c r="I1473" s="466">
        <v>24.36</v>
      </c>
      <c r="J1473" s="466"/>
    </row>
    <row r="1474" spans="1:10" ht="63.75" outlineLevel="3">
      <c r="A1474" s="467" t="s">
        <v>2184</v>
      </c>
      <c r="B1474" s="468" t="s">
        <v>2185</v>
      </c>
      <c r="C1474" s="469"/>
      <c r="D1474" s="468"/>
      <c r="E1474" s="470">
        <v>4906.1000000000004</v>
      </c>
      <c r="F1474" s="470">
        <v>4906.1000000000004</v>
      </c>
      <c r="G1474" s="470">
        <v>891.85</v>
      </c>
      <c r="H1474" s="470">
        <v>445.92500000000001</v>
      </c>
      <c r="I1474" s="471">
        <v>9.09</v>
      </c>
      <c r="J1474" s="471"/>
    </row>
    <row r="1475" spans="1:10" ht="63.75" outlineLevel="4">
      <c r="A1475" s="472" t="s">
        <v>2184</v>
      </c>
      <c r="B1475" s="473" t="s">
        <v>2185</v>
      </c>
      <c r="C1475" s="474" t="s">
        <v>2023</v>
      </c>
      <c r="D1475" s="473" t="s">
        <v>2024</v>
      </c>
      <c r="E1475" s="475">
        <v>4906.1000000000004</v>
      </c>
      <c r="F1475" s="475">
        <v>4906.1000000000004</v>
      </c>
      <c r="G1475" s="475">
        <v>891.85</v>
      </c>
      <c r="H1475" s="475">
        <v>445.92500000000001</v>
      </c>
      <c r="I1475" s="471">
        <v>9.09</v>
      </c>
      <c r="J1475" s="471"/>
    </row>
    <row r="1476" spans="1:10" ht="76.5" outlineLevel="3">
      <c r="A1476" s="467" t="s">
        <v>2186</v>
      </c>
      <c r="B1476" s="468" t="s">
        <v>2187</v>
      </c>
      <c r="C1476" s="469"/>
      <c r="D1476" s="468"/>
      <c r="E1476" s="470">
        <v>19170.29</v>
      </c>
      <c r="F1476" s="470">
        <v>19170.29</v>
      </c>
      <c r="G1476" s="470">
        <v>10769.052</v>
      </c>
      <c r="H1476" s="470">
        <v>5319.2640000000001</v>
      </c>
      <c r="I1476" s="471">
        <v>27.75</v>
      </c>
      <c r="J1476" s="471"/>
    </row>
    <row r="1477" spans="1:10" ht="76.5" outlineLevel="4">
      <c r="A1477" s="472" t="s">
        <v>2186</v>
      </c>
      <c r="B1477" s="473" t="s">
        <v>2187</v>
      </c>
      <c r="C1477" s="474" t="s">
        <v>2023</v>
      </c>
      <c r="D1477" s="473" t="s">
        <v>2024</v>
      </c>
      <c r="E1477" s="475">
        <v>19170.29</v>
      </c>
      <c r="F1477" s="475">
        <v>19170.29</v>
      </c>
      <c r="G1477" s="475">
        <v>10769.052</v>
      </c>
      <c r="H1477" s="475">
        <v>5319.2640000000001</v>
      </c>
      <c r="I1477" s="471">
        <v>27.75</v>
      </c>
      <c r="J1477" s="471"/>
    </row>
    <row r="1478" spans="1:10" ht="102" outlineLevel="3">
      <c r="A1478" s="467" t="s">
        <v>2188</v>
      </c>
      <c r="B1478" s="468" t="s">
        <v>2189</v>
      </c>
      <c r="C1478" s="469"/>
      <c r="D1478" s="468"/>
      <c r="E1478" s="470">
        <v>1100</v>
      </c>
      <c r="F1478" s="470">
        <v>1038.4000000000001</v>
      </c>
      <c r="G1478" s="470">
        <v>853.59699999999998</v>
      </c>
      <c r="H1478" s="470">
        <v>385.435</v>
      </c>
      <c r="I1478" s="471">
        <v>35.04</v>
      </c>
      <c r="J1478" s="471"/>
    </row>
    <row r="1479" spans="1:10" ht="102" outlineLevel="4">
      <c r="A1479" s="472" t="s">
        <v>2188</v>
      </c>
      <c r="B1479" s="473" t="s">
        <v>2189</v>
      </c>
      <c r="C1479" s="474" t="s">
        <v>2023</v>
      </c>
      <c r="D1479" s="473" t="s">
        <v>2024</v>
      </c>
      <c r="E1479" s="475">
        <v>1100</v>
      </c>
      <c r="F1479" s="475">
        <v>1038.4000000000001</v>
      </c>
      <c r="G1479" s="475">
        <v>853.59699999999998</v>
      </c>
      <c r="H1479" s="475">
        <v>385.435</v>
      </c>
      <c r="I1479" s="471">
        <v>35.04</v>
      </c>
      <c r="J1479" s="471"/>
    </row>
    <row r="1480" spans="1:10" ht="25.5" outlineLevel="3">
      <c r="A1480" s="467" t="s">
        <v>2190</v>
      </c>
      <c r="B1480" s="468" t="s">
        <v>2191</v>
      </c>
      <c r="C1480" s="469"/>
      <c r="D1480" s="468"/>
      <c r="E1480" s="470">
        <v>8094.0955599999998</v>
      </c>
      <c r="F1480" s="470">
        <v>8094.0955599999998</v>
      </c>
      <c r="G1480" s="470">
        <v>4896.6244699999997</v>
      </c>
      <c r="H1480" s="470">
        <v>3365.48047</v>
      </c>
      <c r="I1480" s="471">
        <v>41.58</v>
      </c>
      <c r="J1480" s="471"/>
    </row>
    <row r="1481" spans="1:10" ht="25.5" outlineLevel="4">
      <c r="A1481" s="472" t="s">
        <v>2190</v>
      </c>
      <c r="B1481" s="473" t="s">
        <v>2191</v>
      </c>
      <c r="C1481" s="474" t="s">
        <v>2023</v>
      </c>
      <c r="D1481" s="473" t="s">
        <v>2024</v>
      </c>
      <c r="E1481" s="475">
        <v>8094.0955599999998</v>
      </c>
      <c r="F1481" s="475">
        <v>8094.0955599999998</v>
      </c>
      <c r="G1481" s="475">
        <v>4896.6244699999997</v>
      </c>
      <c r="H1481" s="475">
        <v>3365.48047</v>
      </c>
      <c r="I1481" s="471">
        <v>41.58</v>
      </c>
      <c r="J1481" s="471"/>
    </row>
    <row r="1482" spans="1:10" ht="51" outlineLevel="3">
      <c r="A1482" s="467" t="s">
        <v>2192</v>
      </c>
      <c r="B1482" s="468" t="s">
        <v>2193</v>
      </c>
      <c r="C1482" s="469"/>
      <c r="D1482" s="468"/>
      <c r="E1482" s="470">
        <v>5787.5531899999996</v>
      </c>
      <c r="F1482" s="470">
        <v>5787.5531899999996</v>
      </c>
      <c r="G1482" s="470">
        <v>0</v>
      </c>
      <c r="H1482" s="470">
        <v>0</v>
      </c>
      <c r="I1482" s="471">
        <v>0</v>
      </c>
      <c r="J1482" s="471"/>
    </row>
    <row r="1483" spans="1:10" ht="51" outlineLevel="4">
      <c r="A1483" s="472" t="s">
        <v>2192</v>
      </c>
      <c r="B1483" s="473" t="s">
        <v>2193</v>
      </c>
      <c r="C1483" s="474" t="s">
        <v>2023</v>
      </c>
      <c r="D1483" s="473" t="s">
        <v>2024</v>
      </c>
      <c r="E1483" s="475">
        <v>5787.5531899999996</v>
      </c>
      <c r="F1483" s="475">
        <v>5787.5531899999996</v>
      </c>
      <c r="G1483" s="475">
        <v>0</v>
      </c>
      <c r="H1483" s="475">
        <v>0</v>
      </c>
      <c r="I1483" s="471">
        <v>0</v>
      </c>
      <c r="J1483" s="476" t="s">
        <v>10</v>
      </c>
    </row>
    <row r="1484" spans="1:10" ht="76.5" outlineLevel="1">
      <c r="A1484" s="457" t="s">
        <v>2194</v>
      </c>
      <c r="B1484" s="458" t="s">
        <v>2195</v>
      </c>
      <c r="C1484" s="459"/>
      <c r="D1484" s="458"/>
      <c r="E1484" s="460">
        <v>399.6</v>
      </c>
      <c r="F1484" s="460">
        <v>399.6</v>
      </c>
      <c r="G1484" s="460">
        <v>199.8</v>
      </c>
      <c r="H1484" s="460">
        <v>99.9</v>
      </c>
      <c r="I1484" s="461">
        <v>25</v>
      </c>
      <c r="J1484" s="461"/>
    </row>
    <row r="1485" spans="1:10" ht="38.25" outlineLevel="2">
      <c r="A1485" s="462" t="s">
        <v>2196</v>
      </c>
      <c r="B1485" s="463" t="s">
        <v>2197</v>
      </c>
      <c r="C1485" s="464"/>
      <c r="D1485" s="463"/>
      <c r="E1485" s="465">
        <v>399.6</v>
      </c>
      <c r="F1485" s="465">
        <v>399.6</v>
      </c>
      <c r="G1485" s="465">
        <v>199.8</v>
      </c>
      <c r="H1485" s="465">
        <v>99.9</v>
      </c>
      <c r="I1485" s="466">
        <v>25</v>
      </c>
      <c r="J1485" s="466"/>
    </row>
    <row r="1486" spans="1:10" ht="51" outlineLevel="3">
      <c r="A1486" s="467" t="s">
        <v>876</v>
      </c>
      <c r="B1486" s="468" t="s">
        <v>2198</v>
      </c>
      <c r="C1486" s="469"/>
      <c r="D1486" s="468"/>
      <c r="E1486" s="470">
        <v>399.6</v>
      </c>
      <c r="F1486" s="470">
        <v>399.6</v>
      </c>
      <c r="G1486" s="470">
        <v>199.8</v>
      </c>
      <c r="H1486" s="470">
        <v>99.9</v>
      </c>
      <c r="I1486" s="471">
        <v>25</v>
      </c>
      <c r="J1486" s="471"/>
    </row>
    <row r="1487" spans="1:10" ht="51" outlineLevel="4">
      <c r="A1487" s="472" t="s">
        <v>876</v>
      </c>
      <c r="B1487" s="473" t="s">
        <v>2198</v>
      </c>
      <c r="C1487" s="474" t="s">
        <v>2023</v>
      </c>
      <c r="D1487" s="473" t="s">
        <v>2024</v>
      </c>
      <c r="E1487" s="475">
        <v>399.6</v>
      </c>
      <c r="F1487" s="475">
        <v>399.6</v>
      </c>
      <c r="G1487" s="475">
        <v>199.8</v>
      </c>
      <c r="H1487" s="475">
        <v>99.9</v>
      </c>
      <c r="I1487" s="471">
        <v>25</v>
      </c>
      <c r="J1487" s="471"/>
    </row>
    <row r="1488" spans="1:10" ht="90.75" collapsed="1" thickBot="1">
      <c r="A1488" s="452" t="s">
        <v>2199</v>
      </c>
      <c r="B1488" s="453" t="s">
        <v>2200</v>
      </c>
      <c r="C1488" s="454"/>
      <c r="D1488" s="453"/>
      <c r="E1488" s="455">
        <v>6440666.3552099997</v>
      </c>
      <c r="F1488" s="455">
        <v>6434203.4587300001</v>
      </c>
      <c r="G1488" s="455">
        <v>3030497.0074800001</v>
      </c>
      <c r="H1488" s="455">
        <v>3016156.7538899998</v>
      </c>
      <c r="I1488" s="456">
        <v>46.83</v>
      </c>
      <c r="J1488" s="456"/>
    </row>
    <row r="1489" spans="1:10" ht="25.5" outlineLevel="1">
      <c r="A1489" s="457" t="s">
        <v>2201</v>
      </c>
      <c r="B1489" s="458" t="s">
        <v>2202</v>
      </c>
      <c r="C1489" s="459"/>
      <c r="D1489" s="458"/>
      <c r="E1489" s="460">
        <v>705075.98033000005</v>
      </c>
      <c r="F1489" s="460">
        <v>705075.98033000005</v>
      </c>
      <c r="G1489" s="460">
        <v>132735.83115000001</v>
      </c>
      <c r="H1489" s="460">
        <v>128390.40575000001</v>
      </c>
      <c r="I1489" s="461">
        <v>18.21</v>
      </c>
      <c r="J1489" s="461"/>
    </row>
    <row r="1490" spans="1:10" ht="51" outlineLevel="2">
      <c r="A1490" s="462" t="s">
        <v>2203</v>
      </c>
      <c r="B1490" s="463" t="s">
        <v>2204</v>
      </c>
      <c r="C1490" s="464"/>
      <c r="D1490" s="463"/>
      <c r="E1490" s="465">
        <v>106884.80353</v>
      </c>
      <c r="F1490" s="465">
        <v>106884.80353</v>
      </c>
      <c r="G1490" s="465">
        <v>58140.299599999998</v>
      </c>
      <c r="H1490" s="465">
        <v>53794.874199999998</v>
      </c>
      <c r="I1490" s="466">
        <v>50.33</v>
      </c>
      <c r="J1490" s="466"/>
    </row>
    <row r="1491" spans="1:10" ht="25.5" outlineLevel="3">
      <c r="A1491" s="467" t="s">
        <v>888</v>
      </c>
      <c r="B1491" s="468" t="s">
        <v>2205</v>
      </c>
      <c r="C1491" s="469"/>
      <c r="D1491" s="468"/>
      <c r="E1491" s="470">
        <v>103115.51916</v>
      </c>
      <c r="F1491" s="470">
        <v>103115.51916</v>
      </c>
      <c r="G1491" s="470">
        <v>57590</v>
      </c>
      <c r="H1491" s="470">
        <v>53254.671029999998</v>
      </c>
      <c r="I1491" s="471">
        <v>51.65</v>
      </c>
      <c r="J1491" s="471"/>
    </row>
    <row r="1492" spans="1:10" ht="25.5" outlineLevel="4">
      <c r="A1492" s="472" t="s">
        <v>888</v>
      </c>
      <c r="B1492" s="473" t="s">
        <v>2205</v>
      </c>
      <c r="C1492" s="474" t="s">
        <v>2206</v>
      </c>
      <c r="D1492" s="473" t="s">
        <v>2207</v>
      </c>
      <c r="E1492" s="475">
        <v>103115.51916</v>
      </c>
      <c r="F1492" s="475">
        <v>103115.51916</v>
      </c>
      <c r="G1492" s="475">
        <v>57590</v>
      </c>
      <c r="H1492" s="475">
        <v>53254.671029999998</v>
      </c>
      <c r="I1492" s="471">
        <v>51.65</v>
      </c>
      <c r="J1492" s="471"/>
    </row>
    <row r="1493" spans="1:10" ht="38.25" outlineLevel="3">
      <c r="A1493" s="467" t="s">
        <v>869</v>
      </c>
      <c r="B1493" s="468" t="s">
        <v>2208</v>
      </c>
      <c r="C1493" s="469"/>
      <c r="D1493" s="468"/>
      <c r="E1493" s="470">
        <v>1933.2843700000001</v>
      </c>
      <c r="F1493" s="470">
        <v>1933.2843700000001</v>
      </c>
      <c r="G1493" s="470">
        <v>358.86642999999998</v>
      </c>
      <c r="H1493" s="470">
        <v>358.77</v>
      </c>
      <c r="I1493" s="471">
        <v>18.559999999999999</v>
      </c>
      <c r="J1493" s="471"/>
    </row>
    <row r="1494" spans="1:10" ht="38.25" outlineLevel="4">
      <c r="A1494" s="472" t="s">
        <v>869</v>
      </c>
      <c r="B1494" s="473" t="s">
        <v>2208</v>
      </c>
      <c r="C1494" s="474" t="s">
        <v>2206</v>
      </c>
      <c r="D1494" s="473" t="s">
        <v>2207</v>
      </c>
      <c r="E1494" s="475">
        <v>1933.2843700000001</v>
      </c>
      <c r="F1494" s="475">
        <v>1933.2843700000001</v>
      </c>
      <c r="G1494" s="475">
        <v>358.86642999999998</v>
      </c>
      <c r="H1494" s="475">
        <v>358.77</v>
      </c>
      <c r="I1494" s="471">
        <v>18.559999999999999</v>
      </c>
      <c r="J1494" s="471"/>
    </row>
    <row r="1495" spans="1:10" ht="63.75" outlineLevel="3">
      <c r="A1495" s="467" t="s">
        <v>62</v>
      </c>
      <c r="B1495" s="468" t="s">
        <v>2209</v>
      </c>
      <c r="C1495" s="469"/>
      <c r="D1495" s="468"/>
      <c r="E1495" s="470">
        <v>1300.8</v>
      </c>
      <c r="F1495" s="470">
        <v>1300.8</v>
      </c>
      <c r="G1495" s="470">
        <v>105.13317000000001</v>
      </c>
      <c r="H1495" s="470">
        <v>105.13317000000001</v>
      </c>
      <c r="I1495" s="471">
        <v>8.08</v>
      </c>
      <c r="J1495" s="471"/>
    </row>
    <row r="1496" spans="1:10" ht="63.75" outlineLevel="4">
      <c r="A1496" s="472" t="s">
        <v>62</v>
      </c>
      <c r="B1496" s="473" t="s">
        <v>2209</v>
      </c>
      <c r="C1496" s="474" t="s">
        <v>2206</v>
      </c>
      <c r="D1496" s="473" t="s">
        <v>2207</v>
      </c>
      <c r="E1496" s="475">
        <v>1300.8</v>
      </c>
      <c r="F1496" s="475">
        <v>1300.8</v>
      </c>
      <c r="G1496" s="475">
        <v>105.13317000000001</v>
      </c>
      <c r="H1496" s="475">
        <v>105.13317000000001</v>
      </c>
      <c r="I1496" s="471">
        <v>8.08</v>
      </c>
      <c r="J1496" s="471"/>
    </row>
    <row r="1497" spans="1:10" ht="76.5" outlineLevel="3">
      <c r="A1497" s="467" t="s">
        <v>157</v>
      </c>
      <c r="B1497" s="468" t="s">
        <v>2210</v>
      </c>
      <c r="C1497" s="469"/>
      <c r="D1497" s="468"/>
      <c r="E1497" s="470">
        <v>60</v>
      </c>
      <c r="F1497" s="470">
        <v>60</v>
      </c>
      <c r="G1497" s="470">
        <v>0</v>
      </c>
      <c r="H1497" s="470">
        <v>0</v>
      </c>
      <c r="I1497" s="471">
        <v>0</v>
      </c>
      <c r="J1497" s="471"/>
    </row>
    <row r="1498" spans="1:10" ht="76.5" outlineLevel="4">
      <c r="A1498" s="472" t="s">
        <v>157</v>
      </c>
      <c r="B1498" s="473" t="s">
        <v>2210</v>
      </c>
      <c r="C1498" s="474" t="s">
        <v>2206</v>
      </c>
      <c r="D1498" s="473" t="s">
        <v>2207</v>
      </c>
      <c r="E1498" s="475">
        <v>60</v>
      </c>
      <c r="F1498" s="475">
        <v>60</v>
      </c>
      <c r="G1498" s="475">
        <v>0</v>
      </c>
      <c r="H1498" s="475">
        <v>0</v>
      </c>
      <c r="I1498" s="471">
        <v>0</v>
      </c>
      <c r="J1498" s="471"/>
    </row>
    <row r="1499" spans="1:10" ht="76.5" outlineLevel="3">
      <c r="A1499" s="467" t="s">
        <v>1042</v>
      </c>
      <c r="B1499" s="468" t="s">
        <v>2211</v>
      </c>
      <c r="C1499" s="469"/>
      <c r="D1499" s="468"/>
      <c r="E1499" s="470">
        <v>425.2</v>
      </c>
      <c r="F1499" s="470">
        <v>425.2</v>
      </c>
      <c r="G1499" s="470">
        <v>36.299999999999997</v>
      </c>
      <c r="H1499" s="470">
        <v>26.3</v>
      </c>
      <c r="I1499" s="471">
        <v>6.19</v>
      </c>
      <c r="J1499" s="471"/>
    </row>
    <row r="1500" spans="1:10" ht="76.5" outlineLevel="4">
      <c r="A1500" s="472" t="s">
        <v>1042</v>
      </c>
      <c r="B1500" s="473" t="s">
        <v>2211</v>
      </c>
      <c r="C1500" s="474" t="s">
        <v>2206</v>
      </c>
      <c r="D1500" s="473" t="s">
        <v>2207</v>
      </c>
      <c r="E1500" s="475">
        <v>425.2</v>
      </c>
      <c r="F1500" s="475">
        <v>425.2</v>
      </c>
      <c r="G1500" s="475">
        <v>36.299999999999997</v>
      </c>
      <c r="H1500" s="475">
        <v>26.3</v>
      </c>
      <c r="I1500" s="471">
        <v>6.19</v>
      </c>
      <c r="J1500" s="471"/>
    </row>
    <row r="1501" spans="1:10" ht="25.5" outlineLevel="3">
      <c r="A1501" s="467" t="s">
        <v>728</v>
      </c>
      <c r="B1501" s="468" t="s">
        <v>2212</v>
      </c>
      <c r="C1501" s="469"/>
      <c r="D1501" s="468"/>
      <c r="E1501" s="470">
        <v>50</v>
      </c>
      <c r="F1501" s="470">
        <v>50</v>
      </c>
      <c r="G1501" s="470">
        <v>50</v>
      </c>
      <c r="H1501" s="470">
        <v>50</v>
      </c>
      <c r="I1501" s="471">
        <v>100</v>
      </c>
      <c r="J1501" s="471"/>
    </row>
    <row r="1502" spans="1:10" ht="25.5" outlineLevel="4">
      <c r="A1502" s="472" t="s">
        <v>728</v>
      </c>
      <c r="B1502" s="473" t="s">
        <v>2212</v>
      </c>
      <c r="C1502" s="474" t="s">
        <v>2206</v>
      </c>
      <c r="D1502" s="473" t="s">
        <v>2207</v>
      </c>
      <c r="E1502" s="475">
        <v>50</v>
      </c>
      <c r="F1502" s="475">
        <v>50</v>
      </c>
      <c r="G1502" s="475">
        <v>50</v>
      </c>
      <c r="H1502" s="475">
        <v>50</v>
      </c>
      <c r="I1502" s="471">
        <v>100</v>
      </c>
      <c r="J1502" s="471"/>
    </row>
    <row r="1503" spans="1:10" ht="76.5" outlineLevel="2">
      <c r="A1503" s="462" t="s">
        <v>2213</v>
      </c>
      <c r="B1503" s="463" t="s">
        <v>2214</v>
      </c>
      <c r="C1503" s="464"/>
      <c r="D1503" s="463"/>
      <c r="E1503" s="465">
        <v>110</v>
      </c>
      <c r="F1503" s="465">
        <v>110</v>
      </c>
      <c r="G1503" s="465">
        <v>0</v>
      </c>
      <c r="H1503" s="465">
        <v>0</v>
      </c>
      <c r="I1503" s="466">
        <v>0</v>
      </c>
      <c r="J1503" s="466"/>
    </row>
    <row r="1504" spans="1:10" ht="25.5" outlineLevel="3">
      <c r="A1504" s="467" t="s">
        <v>728</v>
      </c>
      <c r="B1504" s="468" t="s">
        <v>2215</v>
      </c>
      <c r="C1504" s="469"/>
      <c r="D1504" s="468"/>
      <c r="E1504" s="470">
        <v>110</v>
      </c>
      <c r="F1504" s="470">
        <v>110</v>
      </c>
      <c r="G1504" s="470">
        <v>0</v>
      </c>
      <c r="H1504" s="470">
        <v>0</v>
      </c>
      <c r="I1504" s="471">
        <v>0</v>
      </c>
      <c r="J1504" s="471"/>
    </row>
    <row r="1505" spans="1:10" ht="25.5" outlineLevel="4">
      <c r="A1505" s="472" t="s">
        <v>728</v>
      </c>
      <c r="B1505" s="473" t="s">
        <v>2215</v>
      </c>
      <c r="C1505" s="474" t="s">
        <v>2206</v>
      </c>
      <c r="D1505" s="473" t="s">
        <v>2207</v>
      </c>
      <c r="E1505" s="475">
        <v>110</v>
      </c>
      <c r="F1505" s="475">
        <v>110</v>
      </c>
      <c r="G1505" s="475">
        <v>0</v>
      </c>
      <c r="H1505" s="475">
        <v>0</v>
      </c>
      <c r="I1505" s="471">
        <v>0</v>
      </c>
      <c r="J1505" s="471"/>
    </row>
    <row r="1506" spans="1:10" ht="63.75" outlineLevel="2">
      <c r="A1506" s="462" t="s">
        <v>2216</v>
      </c>
      <c r="B1506" s="463" t="s">
        <v>2217</v>
      </c>
      <c r="C1506" s="464"/>
      <c r="D1506" s="463"/>
      <c r="E1506" s="465">
        <v>578143.05000000005</v>
      </c>
      <c r="F1506" s="465">
        <v>578143.05000000005</v>
      </c>
      <c r="G1506" s="465">
        <v>65991.874509999994</v>
      </c>
      <c r="H1506" s="465">
        <v>65991.874509999994</v>
      </c>
      <c r="I1506" s="466">
        <v>11.41</v>
      </c>
      <c r="J1506" s="466"/>
    </row>
    <row r="1507" spans="1:10" ht="25.5" outlineLevel="3">
      <c r="A1507" s="467" t="s">
        <v>2218</v>
      </c>
      <c r="B1507" s="468" t="s">
        <v>2219</v>
      </c>
      <c r="C1507" s="469"/>
      <c r="D1507" s="468"/>
      <c r="E1507" s="470">
        <v>577371.1</v>
      </c>
      <c r="F1507" s="470">
        <v>577371.1</v>
      </c>
      <c r="G1507" s="470">
        <v>65975.887010000006</v>
      </c>
      <c r="H1507" s="470">
        <v>65975.887010000006</v>
      </c>
      <c r="I1507" s="471">
        <v>11.43</v>
      </c>
      <c r="J1507" s="471"/>
    </row>
    <row r="1508" spans="1:10" ht="25.5" outlineLevel="4">
      <c r="A1508" s="472" t="s">
        <v>2218</v>
      </c>
      <c r="B1508" s="473" t="s">
        <v>2219</v>
      </c>
      <c r="C1508" s="474" t="s">
        <v>2206</v>
      </c>
      <c r="D1508" s="473" t="s">
        <v>2207</v>
      </c>
      <c r="E1508" s="475">
        <v>577371.1</v>
      </c>
      <c r="F1508" s="475">
        <v>577371.1</v>
      </c>
      <c r="G1508" s="475">
        <v>65975.887010000006</v>
      </c>
      <c r="H1508" s="475">
        <v>65975.887010000006</v>
      </c>
      <c r="I1508" s="471">
        <v>11.43</v>
      </c>
      <c r="J1508" s="471"/>
    </row>
    <row r="1509" spans="1:10" ht="25.5" outlineLevel="3">
      <c r="A1509" s="467" t="s">
        <v>728</v>
      </c>
      <c r="B1509" s="468" t="s">
        <v>2220</v>
      </c>
      <c r="C1509" s="469"/>
      <c r="D1509" s="468"/>
      <c r="E1509" s="470">
        <v>771.95</v>
      </c>
      <c r="F1509" s="470">
        <v>771.95</v>
      </c>
      <c r="G1509" s="470">
        <v>15.987500000000001</v>
      </c>
      <c r="H1509" s="470">
        <v>15.987500000000001</v>
      </c>
      <c r="I1509" s="471">
        <v>2.0699999999999998</v>
      </c>
      <c r="J1509" s="471"/>
    </row>
    <row r="1510" spans="1:10" ht="25.5" outlineLevel="4">
      <c r="A1510" s="472" t="s">
        <v>728</v>
      </c>
      <c r="B1510" s="473" t="s">
        <v>2220</v>
      </c>
      <c r="C1510" s="474" t="s">
        <v>2206</v>
      </c>
      <c r="D1510" s="473" t="s">
        <v>2207</v>
      </c>
      <c r="E1510" s="475">
        <v>771.95</v>
      </c>
      <c r="F1510" s="475">
        <v>771.95</v>
      </c>
      <c r="G1510" s="475">
        <v>15.987500000000001</v>
      </c>
      <c r="H1510" s="475">
        <v>15.987500000000001</v>
      </c>
      <c r="I1510" s="471">
        <v>2.0699999999999998</v>
      </c>
      <c r="J1510" s="471"/>
    </row>
    <row r="1511" spans="1:10" ht="63.75" outlineLevel="2">
      <c r="A1511" s="462" t="s">
        <v>2221</v>
      </c>
      <c r="B1511" s="463" t="s">
        <v>2222</v>
      </c>
      <c r="C1511" s="464"/>
      <c r="D1511" s="463"/>
      <c r="E1511" s="465">
        <v>19938.126799999998</v>
      </c>
      <c r="F1511" s="465">
        <v>19938.126799999998</v>
      </c>
      <c r="G1511" s="465">
        <v>8603.6570400000001</v>
      </c>
      <c r="H1511" s="465">
        <v>8603.6570400000001</v>
      </c>
      <c r="I1511" s="466">
        <v>43.15</v>
      </c>
      <c r="J1511" s="466"/>
    </row>
    <row r="1512" spans="1:10" ht="51" outlineLevel="3">
      <c r="A1512" s="467" t="s">
        <v>876</v>
      </c>
      <c r="B1512" s="468" t="s">
        <v>2223</v>
      </c>
      <c r="C1512" s="469"/>
      <c r="D1512" s="468"/>
      <c r="E1512" s="470">
        <v>19938.126799999998</v>
      </c>
      <c r="F1512" s="470">
        <v>19938.126799999998</v>
      </c>
      <c r="G1512" s="470">
        <v>8603.6570400000001</v>
      </c>
      <c r="H1512" s="470">
        <v>8603.6570400000001</v>
      </c>
      <c r="I1512" s="471">
        <v>43.15</v>
      </c>
      <c r="J1512" s="471"/>
    </row>
    <row r="1513" spans="1:10" ht="51" outlineLevel="4">
      <c r="A1513" s="472" t="s">
        <v>876</v>
      </c>
      <c r="B1513" s="473" t="s">
        <v>2223</v>
      </c>
      <c r="C1513" s="474" t="s">
        <v>2206</v>
      </c>
      <c r="D1513" s="473" t="s">
        <v>2207</v>
      </c>
      <c r="E1513" s="475">
        <v>19938.126799999998</v>
      </c>
      <c r="F1513" s="475">
        <v>19938.126799999998</v>
      </c>
      <c r="G1513" s="475">
        <v>8603.6570400000001</v>
      </c>
      <c r="H1513" s="475">
        <v>8603.6570400000001</v>
      </c>
      <c r="I1513" s="471">
        <v>43.15</v>
      </c>
      <c r="J1513" s="471"/>
    </row>
    <row r="1514" spans="1:10" ht="76.5" outlineLevel="1">
      <c r="A1514" s="457" t="s">
        <v>2224</v>
      </c>
      <c r="B1514" s="458" t="s">
        <v>2225</v>
      </c>
      <c r="C1514" s="459"/>
      <c r="D1514" s="458"/>
      <c r="E1514" s="460">
        <v>5633513.642</v>
      </c>
      <c r="F1514" s="460">
        <v>5628513.642</v>
      </c>
      <c r="G1514" s="460">
        <v>2850848.29904</v>
      </c>
      <c r="H1514" s="460">
        <v>2849649.6253</v>
      </c>
      <c r="I1514" s="461">
        <v>50.58</v>
      </c>
      <c r="J1514" s="461"/>
    </row>
    <row r="1515" spans="1:10" ht="51" outlineLevel="2">
      <c r="A1515" s="462" t="s">
        <v>2226</v>
      </c>
      <c r="B1515" s="463" t="s">
        <v>2227</v>
      </c>
      <c r="C1515" s="464"/>
      <c r="D1515" s="463"/>
      <c r="E1515" s="465">
        <v>3928513.2110000001</v>
      </c>
      <c r="F1515" s="465">
        <v>3928513.2110000001</v>
      </c>
      <c r="G1515" s="465">
        <v>1891225.7396</v>
      </c>
      <c r="H1515" s="465">
        <v>1891225.7396</v>
      </c>
      <c r="I1515" s="466">
        <v>48.14</v>
      </c>
      <c r="J1515" s="466"/>
    </row>
    <row r="1516" spans="1:10" ht="51" outlineLevel="3">
      <c r="A1516" s="467" t="s">
        <v>2228</v>
      </c>
      <c r="B1516" s="468" t="s">
        <v>2229</v>
      </c>
      <c r="C1516" s="469"/>
      <c r="D1516" s="468"/>
      <c r="E1516" s="470">
        <v>1554384</v>
      </c>
      <c r="F1516" s="470">
        <v>1554384</v>
      </c>
      <c r="G1516" s="470">
        <v>777194</v>
      </c>
      <c r="H1516" s="470">
        <v>777194</v>
      </c>
      <c r="I1516" s="471">
        <v>50</v>
      </c>
      <c r="J1516" s="471"/>
    </row>
    <row r="1517" spans="1:10" ht="51" outlineLevel="4">
      <c r="A1517" s="472" t="s">
        <v>2228</v>
      </c>
      <c r="B1517" s="473" t="s">
        <v>2229</v>
      </c>
      <c r="C1517" s="474" t="s">
        <v>2206</v>
      </c>
      <c r="D1517" s="473" t="s">
        <v>2207</v>
      </c>
      <c r="E1517" s="475">
        <v>1554384</v>
      </c>
      <c r="F1517" s="475">
        <v>1554384</v>
      </c>
      <c r="G1517" s="475">
        <v>777194</v>
      </c>
      <c r="H1517" s="475">
        <v>777194</v>
      </c>
      <c r="I1517" s="471">
        <v>50</v>
      </c>
      <c r="J1517" s="476" t="s">
        <v>10</v>
      </c>
    </row>
    <row r="1518" spans="1:10" ht="38.25" outlineLevel="3">
      <c r="A1518" s="467" t="s">
        <v>2230</v>
      </c>
      <c r="B1518" s="468" t="s">
        <v>2231</v>
      </c>
      <c r="C1518" s="469"/>
      <c r="D1518" s="468"/>
      <c r="E1518" s="470">
        <v>2050945.2109999999</v>
      </c>
      <c r="F1518" s="470">
        <v>2050945.2109999999</v>
      </c>
      <c r="G1518" s="470">
        <v>924581.36100000003</v>
      </c>
      <c r="H1518" s="470">
        <v>924581.36100000003</v>
      </c>
      <c r="I1518" s="471">
        <v>45.08</v>
      </c>
      <c r="J1518" s="471"/>
    </row>
    <row r="1519" spans="1:10" ht="38.25" outlineLevel="4">
      <c r="A1519" s="472" t="s">
        <v>2230</v>
      </c>
      <c r="B1519" s="473" t="s">
        <v>2231</v>
      </c>
      <c r="C1519" s="474" t="s">
        <v>2206</v>
      </c>
      <c r="D1519" s="473" t="s">
        <v>2207</v>
      </c>
      <c r="E1519" s="475">
        <v>2050945.2109999999</v>
      </c>
      <c r="F1519" s="475">
        <v>2050945.2109999999</v>
      </c>
      <c r="G1519" s="475">
        <v>924581.36100000003</v>
      </c>
      <c r="H1519" s="475">
        <v>924581.36100000003</v>
      </c>
      <c r="I1519" s="471">
        <v>45.08</v>
      </c>
      <c r="J1519" s="471"/>
    </row>
    <row r="1520" spans="1:10" ht="76.5" outlineLevel="3">
      <c r="A1520" s="467" t="s">
        <v>2232</v>
      </c>
      <c r="B1520" s="468" t="s">
        <v>2233</v>
      </c>
      <c r="C1520" s="469"/>
      <c r="D1520" s="468"/>
      <c r="E1520" s="470">
        <v>193509</v>
      </c>
      <c r="F1520" s="470">
        <v>193509</v>
      </c>
      <c r="G1520" s="470">
        <v>115199.4706</v>
      </c>
      <c r="H1520" s="470">
        <v>115199.4706</v>
      </c>
      <c r="I1520" s="471">
        <v>59.53</v>
      </c>
      <c r="J1520" s="471"/>
    </row>
    <row r="1521" spans="1:10" ht="76.5" outlineLevel="4">
      <c r="A1521" s="472" t="s">
        <v>2232</v>
      </c>
      <c r="B1521" s="473" t="s">
        <v>2233</v>
      </c>
      <c r="C1521" s="474" t="s">
        <v>2206</v>
      </c>
      <c r="D1521" s="473" t="s">
        <v>2207</v>
      </c>
      <c r="E1521" s="475">
        <v>193509</v>
      </c>
      <c r="F1521" s="475">
        <v>193509</v>
      </c>
      <c r="G1521" s="475">
        <v>115199.4706</v>
      </c>
      <c r="H1521" s="475">
        <v>115199.4706</v>
      </c>
      <c r="I1521" s="471">
        <v>59.53</v>
      </c>
      <c r="J1521" s="471"/>
    </row>
    <row r="1522" spans="1:10" ht="89.25" outlineLevel="3">
      <c r="A1522" s="467" t="s">
        <v>2234</v>
      </c>
      <c r="B1522" s="468" t="s">
        <v>2235</v>
      </c>
      <c r="C1522" s="469"/>
      <c r="D1522" s="468"/>
      <c r="E1522" s="470">
        <v>129675</v>
      </c>
      <c r="F1522" s="470">
        <v>129675</v>
      </c>
      <c r="G1522" s="470">
        <v>74250.907999999996</v>
      </c>
      <c r="H1522" s="470">
        <v>74250.907999999996</v>
      </c>
      <c r="I1522" s="471">
        <v>57.26</v>
      </c>
      <c r="J1522" s="471"/>
    </row>
    <row r="1523" spans="1:10" ht="89.25" outlineLevel="4">
      <c r="A1523" s="472" t="s">
        <v>2234</v>
      </c>
      <c r="B1523" s="473" t="s">
        <v>2235</v>
      </c>
      <c r="C1523" s="474" t="s">
        <v>2206</v>
      </c>
      <c r="D1523" s="473" t="s">
        <v>2207</v>
      </c>
      <c r="E1523" s="475">
        <v>129675</v>
      </c>
      <c r="F1523" s="475">
        <v>129675</v>
      </c>
      <c r="G1523" s="475">
        <v>74250.907999999996</v>
      </c>
      <c r="H1523" s="475">
        <v>74250.907999999996</v>
      </c>
      <c r="I1523" s="471">
        <v>57.26</v>
      </c>
      <c r="J1523" s="471"/>
    </row>
    <row r="1524" spans="1:10" ht="51" outlineLevel="2">
      <c r="A1524" s="462" t="s">
        <v>2236</v>
      </c>
      <c r="B1524" s="463" t="s">
        <v>2237</v>
      </c>
      <c r="C1524" s="464"/>
      <c r="D1524" s="463"/>
      <c r="E1524" s="465">
        <v>1705000.4310000001</v>
      </c>
      <c r="F1524" s="465">
        <v>1700000.4310000001</v>
      </c>
      <c r="G1524" s="465">
        <v>959622.55943999998</v>
      </c>
      <c r="H1524" s="465">
        <v>958423.88569999998</v>
      </c>
      <c r="I1524" s="466">
        <v>56.21</v>
      </c>
      <c r="J1524" s="466"/>
    </row>
    <row r="1525" spans="1:10" ht="25.5" outlineLevel="3">
      <c r="A1525" s="467" t="s">
        <v>2238</v>
      </c>
      <c r="B1525" s="468" t="s">
        <v>2239</v>
      </c>
      <c r="C1525" s="469"/>
      <c r="D1525" s="468"/>
      <c r="E1525" s="470">
        <v>472235.11099999998</v>
      </c>
      <c r="F1525" s="470">
        <v>472235.11099999998</v>
      </c>
      <c r="G1525" s="470">
        <v>262829.34419999999</v>
      </c>
      <c r="H1525" s="470">
        <v>262829.34419999999</v>
      </c>
      <c r="I1525" s="471">
        <v>55.66</v>
      </c>
      <c r="J1525" s="471"/>
    </row>
    <row r="1526" spans="1:10" ht="25.5" outlineLevel="4">
      <c r="A1526" s="472" t="s">
        <v>2238</v>
      </c>
      <c r="B1526" s="473" t="s">
        <v>2239</v>
      </c>
      <c r="C1526" s="474" t="s">
        <v>2206</v>
      </c>
      <c r="D1526" s="473" t="s">
        <v>2207</v>
      </c>
      <c r="E1526" s="475">
        <v>472235.11099999998</v>
      </c>
      <c r="F1526" s="475">
        <v>472235.11099999998</v>
      </c>
      <c r="G1526" s="475">
        <v>262829.34419999999</v>
      </c>
      <c r="H1526" s="475">
        <v>262829.34419999999</v>
      </c>
      <c r="I1526" s="471">
        <v>55.66</v>
      </c>
      <c r="J1526" s="471"/>
    </row>
    <row r="1527" spans="1:10" ht="63.75" outlineLevel="3">
      <c r="A1527" s="467" t="s">
        <v>2240</v>
      </c>
      <c r="B1527" s="468" t="s">
        <v>2241</v>
      </c>
      <c r="C1527" s="469"/>
      <c r="D1527" s="468"/>
      <c r="E1527" s="470">
        <v>1227765.32</v>
      </c>
      <c r="F1527" s="470">
        <v>1227765.32</v>
      </c>
      <c r="G1527" s="470">
        <v>696793.21524000005</v>
      </c>
      <c r="H1527" s="470">
        <v>695594.54150000005</v>
      </c>
      <c r="I1527" s="471">
        <v>56.66</v>
      </c>
      <c r="J1527" s="471"/>
    </row>
    <row r="1528" spans="1:10" ht="63.75" outlineLevel="4">
      <c r="A1528" s="472" t="s">
        <v>2240</v>
      </c>
      <c r="B1528" s="473" t="s">
        <v>2241</v>
      </c>
      <c r="C1528" s="474" t="s">
        <v>2206</v>
      </c>
      <c r="D1528" s="473" t="s">
        <v>2207</v>
      </c>
      <c r="E1528" s="475">
        <v>1227765.32</v>
      </c>
      <c r="F1528" s="475">
        <v>1227765.32</v>
      </c>
      <c r="G1528" s="475">
        <v>696793.21524000005</v>
      </c>
      <c r="H1528" s="475">
        <v>695594.54150000005</v>
      </c>
      <c r="I1528" s="471">
        <v>56.66</v>
      </c>
      <c r="J1528" s="471"/>
    </row>
    <row r="1529" spans="1:10" ht="76.5" outlineLevel="3">
      <c r="A1529" s="467" t="s">
        <v>2242</v>
      </c>
      <c r="B1529" s="468" t="s">
        <v>2243</v>
      </c>
      <c r="C1529" s="469"/>
      <c r="D1529" s="468"/>
      <c r="E1529" s="470">
        <v>5000</v>
      </c>
      <c r="F1529" s="470">
        <v>0</v>
      </c>
      <c r="G1529" s="470">
        <v>0</v>
      </c>
      <c r="H1529" s="470">
        <v>0</v>
      </c>
      <c r="I1529" s="471">
        <v>0</v>
      </c>
      <c r="J1529" s="471"/>
    </row>
    <row r="1530" spans="1:10" ht="76.5" outlineLevel="4">
      <c r="A1530" s="472" t="s">
        <v>2242</v>
      </c>
      <c r="B1530" s="473" t="s">
        <v>2243</v>
      </c>
      <c r="C1530" s="474" t="s">
        <v>2206</v>
      </c>
      <c r="D1530" s="473" t="s">
        <v>2207</v>
      </c>
      <c r="E1530" s="475">
        <v>5000</v>
      </c>
      <c r="F1530" s="475">
        <v>0</v>
      </c>
      <c r="G1530" s="475">
        <v>0</v>
      </c>
      <c r="H1530" s="475">
        <v>0</v>
      </c>
      <c r="I1530" s="471">
        <v>0</v>
      </c>
      <c r="J1530" s="471"/>
    </row>
    <row r="1531" spans="1:10" ht="38.25" outlineLevel="1">
      <c r="A1531" s="457" t="s">
        <v>2244</v>
      </c>
      <c r="B1531" s="458" t="s">
        <v>2245</v>
      </c>
      <c r="C1531" s="459"/>
      <c r="D1531" s="458"/>
      <c r="E1531" s="460">
        <v>30214.869910000001</v>
      </c>
      <c r="F1531" s="460">
        <v>30214.869910000001</v>
      </c>
      <c r="G1531" s="460">
        <v>15496.491</v>
      </c>
      <c r="H1531" s="460">
        <v>11578.40926</v>
      </c>
      <c r="I1531" s="461">
        <v>38.32</v>
      </c>
      <c r="J1531" s="461"/>
    </row>
    <row r="1532" spans="1:10" ht="51" outlineLevel="2">
      <c r="A1532" s="462" t="s">
        <v>2246</v>
      </c>
      <c r="B1532" s="463" t="s">
        <v>2247</v>
      </c>
      <c r="C1532" s="464"/>
      <c r="D1532" s="463"/>
      <c r="E1532" s="465">
        <v>30214.869910000001</v>
      </c>
      <c r="F1532" s="465">
        <v>30214.869910000001</v>
      </c>
      <c r="G1532" s="465">
        <v>15496.491</v>
      </c>
      <c r="H1532" s="465">
        <v>11578.40926</v>
      </c>
      <c r="I1532" s="466">
        <v>38.32</v>
      </c>
      <c r="J1532" s="466"/>
    </row>
    <row r="1533" spans="1:10" ht="25.5" outlineLevel="3">
      <c r="A1533" s="467" t="s">
        <v>888</v>
      </c>
      <c r="B1533" s="468" t="s">
        <v>2248</v>
      </c>
      <c r="C1533" s="469"/>
      <c r="D1533" s="468"/>
      <c r="E1533" s="470">
        <v>27164.47436</v>
      </c>
      <c r="F1533" s="470">
        <v>27164.47436</v>
      </c>
      <c r="G1533" s="470">
        <v>14976</v>
      </c>
      <c r="H1533" s="470">
        <v>11324.841920000001</v>
      </c>
      <c r="I1533" s="471">
        <v>41.69</v>
      </c>
      <c r="J1533" s="471"/>
    </row>
    <row r="1534" spans="1:10" ht="38.25" outlineLevel="4">
      <c r="A1534" s="472" t="s">
        <v>888</v>
      </c>
      <c r="B1534" s="473" t="s">
        <v>2248</v>
      </c>
      <c r="C1534" s="474" t="s">
        <v>2249</v>
      </c>
      <c r="D1534" s="473" t="s">
        <v>2250</v>
      </c>
      <c r="E1534" s="475">
        <v>27164.47436</v>
      </c>
      <c r="F1534" s="475">
        <v>27164.47436</v>
      </c>
      <c r="G1534" s="475">
        <v>14976</v>
      </c>
      <c r="H1534" s="475">
        <v>11324.841920000001</v>
      </c>
      <c r="I1534" s="471">
        <v>41.69</v>
      </c>
      <c r="J1534" s="471"/>
    </row>
    <row r="1535" spans="1:10" ht="38.25" outlineLevel="3">
      <c r="A1535" s="467" t="s">
        <v>869</v>
      </c>
      <c r="B1535" s="468" t="s">
        <v>2251</v>
      </c>
      <c r="C1535" s="469"/>
      <c r="D1535" s="468"/>
      <c r="E1535" s="470">
        <v>2588.7955499999998</v>
      </c>
      <c r="F1535" s="470">
        <v>2588.7955499999998</v>
      </c>
      <c r="G1535" s="470">
        <v>470.49099999999999</v>
      </c>
      <c r="H1535" s="470">
        <v>253.56734</v>
      </c>
      <c r="I1535" s="471">
        <v>9.7899999999999991</v>
      </c>
      <c r="J1535" s="471"/>
    </row>
    <row r="1536" spans="1:10" ht="38.25" outlineLevel="4">
      <c r="A1536" s="472" t="s">
        <v>869</v>
      </c>
      <c r="B1536" s="473" t="s">
        <v>2251</v>
      </c>
      <c r="C1536" s="474" t="s">
        <v>2249</v>
      </c>
      <c r="D1536" s="473" t="s">
        <v>2250</v>
      </c>
      <c r="E1536" s="475">
        <v>2588.7955499999998</v>
      </c>
      <c r="F1536" s="475">
        <v>2588.7955499999998</v>
      </c>
      <c r="G1536" s="475">
        <v>470.49099999999999</v>
      </c>
      <c r="H1536" s="475">
        <v>253.56734</v>
      </c>
      <c r="I1536" s="471">
        <v>9.7899999999999991</v>
      </c>
      <c r="J1536" s="471"/>
    </row>
    <row r="1537" spans="1:10" ht="63.75" outlineLevel="3">
      <c r="A1537" s="467" t="s">
        <v>62</v>
      </c>
      <c r="B1537" s="468" t="s">
        <v>2252</v>
      </c>
      <c r="C1537" s="469"/>
      <c r="D1537" s="468"/>
      <c r="E1537" s="470">
        <v>400</v>
      </c>
      <c r="F1537" s="470">
        <v>400</v>
      </c>
      <c r="G1537" s="470">
        <v>50</v>
      </c>
      <c r="H1537" s="470">
        <v>0</v>
      </c>
      <c r="I1537" s="471">
        <v>0</v>
      </c>
      <c r="J1537" s="471"/>
    </row>
    <row r="1538" spans="1:10" ht="63.75" outlineLevel="4">
      <c r="A1538" s="472" t="s">
        <v>62</v>
      </c>
      <c r="B1538" s="473" t="s">
        <v>2252</v>
      </c>
      <c r="C1538" s="474" t="s">
        <v>2249</v>
      </c>
      <c r="D1538" s="473" t="s">
        <v>2250</v>
      </c>
      <c r="E1538" s="475">
        <v>400</v>
      </c>
      <c r="F1538" s="475">
        <v>400</v>
      </c>
      <c r="G1538" s="475">
        <v>50</v>
      </c>
      <c r="H1538" s="475">
        <v>0</v>
      </c>
      <c r="I1538" s="471">
        <v>0</v>
      </c>
      <c r="J1538" s="471"/>
    </row>
    <row r="1539" spans="1:10" ht="76.5" outlineLevel="3">
      <c r="A1539" s="467" t="s">
        <v>1042</v>
      </c>
      <c r="B1539" s="468" t="s">
        <v>2253</v>
      </c>
      <c r="C1539" s="469"/>
      <c r="D1539" s="468"/>
      <c r="E1539" s="470">
        <v>61.6</v>
      </c>
      <c r="F1539" s="470">
        <v>61.6</v>
      </c>
      <c r="G1539" s="470">
        <v>0</v>
      </c>
      <c r="H1539" s="470">
        <v>0</v>
      </c>
      <c r="I1539" s="471">
        <v>0</v>
      </c>
      <c r="J1539" s="471"/>
    </row>
    <row r="1540" spans="1:10" ht="76.5" outlineLevel="4">
      <c r="A1540" s="472" t="s">
        <v>1042</v>
      </c>
      <c r="B1540" s="473" t="s">
        <v>2253</v>
      </c>
      <c r="C1540" s="474" t="s">
        <v>2249</v>
      </c>
      <c r="D1540" s="473" t="s">
        <v>2250</v>
      </c>
      <c r="E1540" s="475">
        <v>61.6</v>
      </c>
      <c r="F1540" s="475">
        <v>61.6</v>
      </c>
      <c r="G1540" s="475">
        <v>0</v>
      </c>
      <c r="H1540" s="475">
        <v>0</v>
      </c>
      <c r="I1540" s="471">
        <v>0</v>
      </c>
      <c r="J1540" s="471"/>
    </row>
    <row r="1541" spans="1:10" ht="38.25" outlineLevel="1">
      <c r="A1541" s="457" t="s">
        <v>2254</v>
      </c>
      <c r="B1541" s="458" t="s">
        <v>2255</v>
      </c>
      <c r="C1541" s="459"/>
      <c r="D1541" s="458"/>
      <c r="E1541" s="460">
        <v>71861.862970000002</v>
      </c>
      <c r="F1541" s="460">
        <v>70398.966490000006</v>
      </c>
      <c r="G1541" s="460">
        <v>31416.386289999999</v>
      </c>
      <c r="H1541" s="460">
        <v>26538.313580000002</v>
      </c>
      <c r="I1541" s="461">
        <v>36.93</v>
      </c>
      <c r="J1541" s="461"/>
    </row>
    <row r="1542" spans="1:10" ht="63.75" outlineLevel="2">
      <c r="A1542" s="462" t="s">
        <v>2256</v>
      </c>
      <c r="B1542" s="463" t="s">
        <v>2257</v>
      </c>
      <c r="C1542" s="464"/>
      <c r="D1542" s="463"/>
      <c r="E1542" s="465">
        <v>57682.812100000003</v>
      </c>
      <c r="F1542" s="465">
        <v>57682.812100000003</v>
      </c>
      <c r="G1542" s="465">
        <v>29529.292600000001</v>
      </c>
      <c r="H1542" s="465">
        <v>24651.21989</v>
      </c>
      <c r="I1542" s="466">
        <v>42.74</v>
      </c>
      <c r="J1542" s="466"/>
    </row>
    <row r="1543" spans="1:10" ht="25.5" outlineLevel="3">
      <c r="A1543" s="467" t="s">
        <v>888</v>
      </c>
      <c r="B1543" s="468" t="s">
        <v>2258</v>
      </c>
      <c r="C1543" s="469"/>
      <c r="D1543" s="468"/>
      <c r="E1543" s="470">
        <v>56147.811869999998</v>
      </c>
      <c r="F1543" s="470">
        <v>56147.811869999998</v>
      </c>
      <c r="G1543" s="470">
        <v>29100</v>
      </c>
      <c r="H1543" s="470">
        <v>24439.160459999999</v>
      </c>
      <c r="I1543" s="471">
        <v>43.53</v>
      </c>
      <c r="J1543" s="471"/>
    </row>
    <row r="1544" spans="1:10" ht="25.5" outlineLevel="4">
      <c r="A1544" s="472" t="s">
        <v>888</v>
      </c>
      <c r="B1544" s="473" t="s">
        <v>2258</v>
      </c>
      <c r="C1544" s="474" t="s">
        <v>2004</v>
      </c>
      <c r="D1544" s="473" t="s">
        <v>2005</v>
      </c>
      <c r="E1544" s="475">
        <v>56147.811869999998</v>
      </c>
      <c r="F1544" s="475">
        <v>56147.811869999998</v>
      </c>
      <c r="G1544" s="475">
        <v>29100</v>
      </c>
      <c r="H1544" s="475">
        <v>24439.160459999999</v>
      </c>
      <c r="I1544" s="471">
        <v>43.53</v>
      </c>
      <c r="J1544" s="471"/>
    </row>
    <row r="1545" spans="1:10" ht="38.25" outlineLevel="3">
      <c r="A1545" s="467" t="s">
        <v>869</v>
      </c>
      <c r="B1545" s="468" t="s">
        <v>2259</v>
      </c>
      <c r="C1545" s="469"/>
      <c r="D1545" s="468"/>
      <c r="E1545" s="470">
        <v>530.00022999999999</v>
      </c>
      <c r="F1545" s="470">
        <v>530.00022999999999</v>
      </c>
      <c r="G1545" s="470">
        <v>199.29259999999999</v>
      </c>
      <c r="H1545" s="470">
        <v>147.90455</v>
      </c>
      <c r="I1545" s="471">
        <v>27.91</v>
      </c>
      <c r="J1545" s="471"/>
    </row>
    <row r="1546" spans="1:10" ht="38.25" outlineLevel="4">
      <c r="A1546" s="472" t="s">
        <v>869</v>
      </c>
      <c r="B1546" s="473" t="s">
        <v>2259</v>
      </c>
      <c r="C1546" s="474" t="s">
        <v>2004</v>
      </c>
      <c r="D1546" s="473" t="s">
        <v>2005</v>
      </c>
      <c r="E1546" s="475">
        <v>530.00022999999999</v>
      </c>
      <c r="F1546" s="475">
        <v>530.00022999999999</v>
      </c>
      <c r="G1546" s="475">
        <v>199.29259999999999</v>
      </c>
      <c r="H1546" s="475">
        <v>147.90455</v>
      </c>
      <c r="I1546" s="471">
        <v>27.91</v>
      </c>
      <c r="J1546" s="471"/>
    </row>
    <row r="1547" spans="1:10" ht="63.75" outlineLevel="3">
      <c r="A1547" s="467" t="s">
        <v>62</v>
      </c>
      <c r="B1547" s="468" t="s">
        <v>2260</v>
      </c>
      <c r="C1547" s="469"/>
      <c r="D1547" s="468"/>
      <c r="E1547" s="470">
        <v>1005</v>
      </c>
      <c r="F1547" s="470">
        <v>1005</v>
      </c>
      <c r="G1547" s="470">
        <v>230</v>
      </c>
      <c r="H1547" s="470">
        <v>64.154880000000006</v>
      </c>
      <c r="I1547" s="471">
        <v>6.38</v>
      </c>
      <c r="J1547" s="471"/>
    </row>
    <row r="1548" spans="1:10" ht="63.75" outlineLevel="4">
      <c r="A1548" s="472" t="s">
        <v>62</v>
      </c>
      <c r="B1548" s="473" t="s">
        <v>2260</v>
      </c>
      <c r="C1548" s="474" t="s">
        <v>2004</v>
      </c>
      <c r="D1548" s="473" t="s">
        <v>2005</v>
      </c>
      <c r="E1548" s="475">
        <v>1005</v>
      </c>
      <c r="F1548" s="475">
        <v>1005</v>
      </c>
      <c r="G1548" s="475">
        <v>230</v>
      </c>
      <c r="H1548" s="475">
        <v>64.154880000000006</v>
      </c>
      <c r="I1548" s="471">
        <v>6.38</v>
      </c>
      <c r="J1548" s="471"/>
    </row>
    <row r="1549" spans="1:10" ht="51" outlineLevel="2">
      <c r="A1549" s="462" t="s">
        <v>2261</v>
      </c>
      <c r="B1549" s="463" t="s">
        <v>2262</v>
      </c>
      <c r="C1549" s="464"/>
      <c r="D1549" s="463"/>
      <c r="E1549" s="465">
        <v>6801.9</v>
      </c>
      <c r="F1549" s="465">
        <v>6801.9</v>
      </c>
      <c r="G1549" s="465">
        <v>0</v>
      </c>
      <c r="H1549" s="465">
        <v>0</v>
      </c>
      <c r="I1549" s="466">
        <v>0</v>
      </c>
      <c r="J1549" s="466"/>
    </row>
    <row r="1550" spans="1:10" ht="51" outlineLevel="3">
      <c r="A1550" s="467" t="s">
        <v>876</v>
      </c>
      <c r="B1550" s="468" t="s">
        <v>2263</v>
      </c>
      <c r="C1550" s="469"/>
      <c r="D1550" s="468"/>
      <c r="E1550" s="470">
        <v>6801.9</v>
      </c>
      <c r="F1550" s="470">
        <v>6801.9</v>
      </c>
      <c r="G1550" s="470">
        <v>0</v>
      </c>
      <c r="H1550" s="470">
        <v>0</v>
      </c>
      <c r="I1550" s="471">
        <v>0</v>
      </c>
      <c r="J1550" s="471"/>
    </row>
    <row r="1551" spans="1:10" ht="51" outlineLevel="4">
      <c r="A1551" s="472" t="s">
        <v>876</v>
      </c>
      <c r="B1551" s="473" t="s">
        <v>2263</v>
      </c>
      <c r="C1551" s="474" t="s">
        <v>2004</v>
      </c>
      <c r="D1551" s="473" t="s">
        <v>2005</v>
      </c>
      <c r="E1551" s="475">
        <v>6801.9</v>
      </c>
      <c r="F1551" s="475">
        <v>6801.9</v>
      </c>
      <c r="G1551" s="475">
        <v>0</v>
      </c>
      <c r="H1551" s="475">
        <v>0</v>
      </c>
      <c r="I1551" s="471">
        <v>0</v>
      </c>
      <c r="J1551" s="471"/>
    </row>
    <row r="1552" spans="1:10" ht="63.75" outlineLevel="2">
      <c r="A1552" s="462" t="s">
        <v>2264</v>
      </c>
      <c r="B1552" s="463" t="s">
        <v>2265</v>
      </c>
      <c r="C1552" s="464"/>
      <c r="D1552" s="463"/>
      <c r="E1552" s="465">
        <v>7377.1508700000004</v>
      </c>
      <c r="F1552" s="465">
        <v>5914.2543900000001</v>
      </c>
      <c r="G1552" s="465">
        <v>1887.0936899999999</v>
      </c>
      <c r="H1552" s="465">
        <v>1887.0936899999999</v>
      </c>
      <c r="I1552" s="466">
        <v>25.58</v>
      </c>
      <c r="J1552" s="466"/>
    </row>
    <row r="1553" spans="1:10" ht="76.5" outlineLevel="3">
      <c r="A1553" s="467" t="s">
        <v>717</v>
      </c>
      <c r="B1553" s="468" t="s">
        <v>2266</v>
      </c>
      <c r="C1553" s="469"/>
      <c r="D1553" s="468"/>
      <c r="E1553" s="470">
        <v>7227.1508700000004</v>
      </c>
      <c r="F1553" s="470">
        <v>5914.2543900000001</v>
      </c>
      <c r="G1553" s="470">
        <v>1887.0936899999999</v>
      </c>
      <c r="H1553" s="470">
        <v>1887.0936899999999</v>
      </c>
      <c r="I1553" s="471">
        <v>26.11</v>
      </c>
      <c r="J1553" s="471"/>
    </row>
    <row r="1554" spans="1:10" ht="76.5" outlineLevel="4">
      <c r="A1554" s="472" t="s">
        <v>717</v>
      </c>
      <c r="B1554" s="473" t="s">
        <v>2266</v>
      </c>
      <c r="C1554" s="474" t="s">
        <v>2004</v>
      </c>
      <c r="D1554" s="473" t="s">
        <v>2005</v>
      </c>
      <c r="E1554" s="475">
        <v>7227.1508700000004</v>
      </c>
      <c r="F1554" s="475">
        <v>5914.2543900000001</v>
      </c>
      <c r="G1554" s="475">
        <v>1887.0936899999999</v>
      </c>
      <c r="H1554" s="475">
        <v>1887.0936899999999</v>
      </c>
      <c r="I1554" s="471">
        <v>26.11</v>
      </c>
      <c r="J1554" s="471"/>
    </row>
    <row r="1555" spans="1:10" ht="63.75" outlineLevel="3">
      <c r="A1555" s="467" t="s">
        <v>62</v>
      </c>
      <c r="B1555" s="468" t="s">
        <v>2267</v>
      </c>
      <c r="C1555" s="469"/>
      <c r="D1555" s="468"/>
      <c r="E1555" s="470">
        <v>150</v>
      </c>
      <c r="F1555" s="470">
        <v>0</v>
      </c>
      <c r="G1555" s="470">
        <v>0</v>
      </c>
      <c r="H1555" s="470">
        <v>0</v>
      </c>
      <c r="I1555" s="471">
        <v>0</v>
      </c>
      <c r="J1555" s="471"/>
    </row>
    <row r="1556" spans="1:10" ht="63.75" outlineLevel="4">
      <c r="A1556" s="472" t="s">
        <v>62</v>
      </c>
      <c r="B1556" s="473" t="s">
        <v>2267</v>
      </c>
      <c r="C1556" s="474" t="s">
        <v>2004</v>
      </c>
      <c r="D1556" s="473" t="s">
        <v>2005</v>
      </c>
      <c r="E1556" s="475">
        <v>150</v>
      </c>
      <c r="F1556" s="475">
        <v>0</v>
      </c>
      <c r="G1556" s="475">
        <v>0</v>
      </c>
      <c r="H1556" s="475">
        <v>0</v>
      </c>
      <c r="I1556" s="471">
        <v>0</v>
      </c>
      <c r="J1556" s="471"/>
    </row>
    <row r="1557" spans="1:10" ht="45.75" collapsed="1" thickBot="1">
      <c r="A1557" s="452" t="s">
        <v>2268</v>
      </c>
      <c r="B1557" s="453" t="s">
        <v>2269</v>
      </c>
      <c r="C1557" s="454"/>
      <c r="D1557" s="453"/>
      <c r="E1557" s="455">
        <v>1416429.9220799999</v>
      </c>
      <c r="F1557" s="455">
        <v>1334949.99808</v>
      </c>
      <c r="G1557" s="455">
        <v>668399.77437</v>
      </c>
      <c r="H1557" s="455">
        <v>603525.80038999999</v>
      </c>
      <c r="I1557" s="456">
        <v>42.61</v>
      </c>
      <c r="J1557" s="456"/>
    </row>
    <row r="1558" spans="1:10" ht="38.25" outlineLevel="1">
      <c r="A1558" s="457" t="s">
        <v>2270</v>
      </c>
      <c r="B1558" s="458" t="s">
        <v>2271</v>
      </c>
      <c r="C1558" s="459"/>
      <c r="D1558" s="458"/>
      <c r="E1558" s="460">
        <v>801806.95721000002</v>
      </c>
      <c r="F1558" s="460">
        <v>735335.55721</v>
      </c>
      <c r="G1558" s="460">
        <v>412379.63166000001</v>
      </c>
      <c r="H1558" s="460">
        <v>367954.61296</v>
      </c>
      <c r="I1558" s="461">
        <v>45.89</v>
      </c>
      <c r="J1558" s="461"/>
    </row>
    <row r="1559" spans="1:10" ht="38.25" outlineLevel="2">
      <c r="A1559" s="462" t="s">
        <v>2272</v>
      </c>
      <c r="B1559" s="463" t="s">
        <v>2273</v>
      </c>
      <c r="C1559" s="464"/>
      <c r="D1559" s="463"/>
      <c r="E1559" s="465">
        <v>444.4</v>
      </c>
      <c r="F1559" s="465">
        <v>444.4</v>
      </c>
      <c r="G1559" s="465">
        <v>0</v>
      </c>
      <c r="H1559" s="465">
        <v>0</v>
      </c>
      <c r="I1559" s="466">
        <v>0</v>
      </c>
      <c r="J1559" s="466"/>
    </row>
    <row r="1560" spans="1:10" ht="76.5" outlineLevel="3">
      <c r="A1560" s="467" t="s">
        <v>1042</v>
      </c>
      <c r="B1560" s="468" t="s">
        <v>2274</v>
      </c>
      <c r="C1560" s="469"/>
      <c r="D1560" s="468"/>
      <c r="E1560" s="470">
        <v>444.4</v>
      </c>
      <c r="F1560" s="470">
        <v>444.4</v>
      </c>
      <c r="G1560" s="470">
        <v>0</v>
      </c>
      <c r="H1560" s="470">
        <v>0</v>
      </c>
      <c r="I1560" s="471">
        <v>0</v>
      </c>
      <c r="J1560" s="471"/>
    </row>
    <row r="1561" spans="1:10" ht="76.5" outlineLevel="4">
      <c r="A1561" s="472" t="s">
        <v>1042</v>
      </c>
      <c r="B1561" s="473" t="s">
        <v>2274</v>
      </c>
      <c r="C1561" s="474" t="s">
        <v>2275</v>
      </c>
      <c r="D1561" s="473" t="s">
        <v>2276</v>
      </c>
      <c r="E1561" s="475">
        <v>444.4</v>
      </c>
      <c r="F1561" s="475">
        <v>444.4</v>
      </c>
      <c r="G1561" s="475">
        <v>0</v>
      </c>
      <c r="H1561" s="475">
        <v>0</v>
      </c>
      <c r="I1561" s="471">
        <v>0</v>
      </c>
      <c r="J1561" s="471"/>
    </row>
    <row r="1562" spans="1:10" ht="63.75" outlineLevel="2">
      <c r="A1562" s="462" t="s">
        <v>2277</v>
      </c>
      <c r="B1562" s="463" t="s">
        <v>2278</v>
      </c>
      <c r="C1562" s="464"/>
      <c r="D1562" s="463"/>
      <c r="E1562" s="465">
        <v>71563.634680000003</v>
      </c>
      <c r="F1562" s="465">
        <v>71563.634680000003</v>
      </c>
      <c r="G1562" s="465">
        <v>42655.930160000004</v>
      </c>
      <c r="H1562" s="465">
        <v>33093.495210000001</v>
      </c>
      <c r="I1562" s="466">
        <v>46.24</v>
      </c>
      <c r="J1562" s="466"/>
    </row>
    <row r="1563" spans="1:10" ht="25.5" outlineLevel="3">
      <c r="A1563" s="467" t="s">
        <v>888</v>
      </c>
      <c r="B1563" s="468" t="s">
        <v>2279</v>
      </c>
      <c r="C1563" s="469"/>
      <c r="D1563" s="468"/>
      <c r="E1563" s="470">
        <v>65857.561679999999</v>
      </c>
      <c r="F1563" s="470">
        <v>65857.561679999999</v>
      </c>
      <c r="G1563" s="470">
        <v>39146.843520000002</v>
      </c>
      <c r="H1563" s="470">
        <v>30142.87268</v>
      </c>
      <c r="I1563" s="471">
        <v>45.77</v>
      </c>
      <c r="J1563" s="471"/>
    </row>
    <row r="1564" spans="1:10" ht="25.5" outlineLevel="4">
      <c r="A1564" s="472" t="s">
        <v>888</v>
      </c>
      <c r="B1564" s="473" t="s">
        <v>2279</v>
      </c>
      <c r="C1564" s="474" t="s">
        <v>2139</v>
      </c>
      <c r="D1564" s="473" t="s">
        <v>2140</v>
      </c>
      <c r="E1564" s="475">
        <v>50462.9755</v>
      </c>
      <c r="F1564" s="475">
        <v>50462.9755</v>
      </c>
      <c r="G1564" s="475">
        <v>33000</v>
      </c>
      <c r="H1564" s="475">
        <v>26394.708269999999</v>
      </c>
      <c r="I1564" s="471">
        <v>52.31</v>
      </c>
      <c r="J1564" s="471"/>
    </row>
    <row r="1565" spans="1:10" ht="38.25" outlineLevel="4">
      <c r="A1565" s="472" t="s">
        <v>888</v>
      </c>
      <c r="B1565" s="473" t="s">
        <v>2279</v>
      </c>
      <c r="C1565" s="474" t="s">
        <v>2280</v>
      </c>
      <c r="D1565" s="473" t="s">
        <v>2281</v>
      </c>
      <c r="E1565" s="475">
        <v>15394.58618</v>
      </c>
      <c r="F1565" s="475">
        <v>15394.58618</v>
      </c>
      <c r="G1565" s="475">
        <v>6146.8435200000004</v>
      </c>
      <c r="H1565" s="475">
        <v>3748.1644099999999</v>
      </c>
      <c r="I1565" s="471">
        <v>24.35</v>
      </c>
      <c r="J1565" s="471"/>
    </row>
    <row r="1566" spans="1:10" ht="38.25" outlineLevel="3">
      <c r="A1566" s="467" t="s">
        <v>869</v>
      </c>
      <c r="B1566" s="468" t="s">
        <v>2282</v>
      </c>
      <c r="C1566" s="469"/>
      <c r="D1566" s="468"/>
      <c r="E1566" s="470">
        <v>1481</v>
      </c>
      <c r="F1566" s="470">
        <v>1481</v>
      </c>
      <c r="G1566" s="470">
        <v>590.68188999999995</v>
      </c>
      <c r="H1566" s="470">
        <v>504.98318999999998</v>
      </c>
      <c r="I1566" s="471">
        <v>34.1</v>
      </c>
      <c r="J1566" s="471"/>
    </row>
    <row r="1567" spans="1:10" ht="38.25" outlineLevel="4">
      <c r="A1567" s="472" t="s">
        <v>869</v>
      </c>
      <c r="B1567" s="473" t="s">
        <v>2282</v>
      </c>
      <c r="C1567" s="474" t="s">
        <v>2139</v>
      </c>
      <c r="D1567" s="473" t="s">
        <v>2140</v>
      </c>
      <c r="E1567" s="475">
        <v>901</v>
      </c>
      <c r="F1567" s="475">
        <v>901</v>
      </c>
      <c r="G1567" s="475">
        <v>454.99793</v>
      </c>
      <c r="H1567" s="475">
        <v>371.59123</v>
      </c>
      <c r="I1567" s="471">
        <v>41.24</v>
      </c>
      <c r="J1567" s="471"/>
    </row>
    <row r="1568" spans="1:10" ht="38.25" outlineLevel="4">
      <c r="A1568" s="472" t="s">
        <v>869</v>
      </c>
      <c r="B1568" s="473" t="s">
        <v>2282</v>
      </c>
      <c r="C1568" s="474" t="s">
        <v>2280</v>
      </c>
      <c r="D1568" s="473" t="s">
        <v>2281</v>
      </c>
      <c r="E1568" s="475">
        <v>580</v>
      </c>
      <c r="F1568" s="475">
        <v>580</v>
      </c>
      <c r="G1568" s="475">
        <v>135.68396000000001</v>
      </c>
      <c r="H1568" s="475">
        <v>133.39196000000001</v>
      </c>
      <c r="I1568" s="471">
        <v>23</v>
      </c>
      <c r="J1568" s="471"/>
    </row>
    <row r="1569" spans="1:10" ht="63.75" outlineLevel="3">
      <c r="A1569" s="467" t="s">
        <v>62</v>
      </c>
      <c r="B1569" s="468" t="s">
        <v>2283</v>
      </c>
      <c r="C1569" s="469"/>
      <c r="D1569" s="468"/>
      <c r="E1569" s="470">
        <v>657.24</v>
      </c>
      <c r="F1569" s="470">
        <v>657.24</v>
      </c>
      <c r="G1569" s="470">
        <v>100</v>
      </c>
      <c r="H1569" s="470">
        <v>30.243500000000001</v>
      </c>
      <c r="I1569" s="471">
        <v>4.5999999999999996</v>
      </c>
      <c r="J1569" s="471"/>
    </row>
    <row r="1570" spans="1:10" ht="63.75" outlineLevel="4">
      <c r="A1570" s="472" t="s">
        <v>62</v>
      </c>
      <c r="B1570" s="473" t="s">
        <v>2283</v>
      </c>
      <c r="C1570" s="474" t="s">
        <v>2139</v>
      </c>
      <c r="D1570" s="473" t="s">
        <v>2140</v>
      </c>
      <c r="E1570" s="475">
        <v>532.24</v>
      </c>
      <c r="F1570" s="475">
        <v>532.24</v>
      </c>
      <c r="G1570" s="475">
        <v>100</v>
      </c>
      <c r="H1570" s="475">
        <v>30.243500000000001</v>
      </c>
      <c r="I1570" s="471">
        <v>5.68</v>
      </c>
      <c r="J1570" s="471"/>
    </row>
    <row r="1571" spans="1:10" ht="63.75" outlineLevel="4">
      <c r="A1571" s="472" t="s">
        <v>62</v>
      </c>
      <c r="B1571" s="473" t="s">
        <v>2283</v>
      </c>
      <c r="C1571" s="474" t="s">
        <v>2280</v>
      </c>
      <c r="D1571" s="473" t="s">
        <v>2281</v>
      </c>
      <c r="E1571" s="475">
        <v>125</v>
      </c>
      <c r="F1571" s="475">
        <v>125</v>
      </c>
      <c r="G1571" s="475">
        <v>0</v>
      </c>
      <c r="H1571" s="475">
        <v>0</v>
      </c>
      <c r="I1571" s="471">
        <v>0</v>
      </c>
      <c r="J1571" s="471"/>
    </row>
    <row r="1572" spans="1:10" ht="76.5" outlineLevel="3">
      <c r="A1572" s="467" t="s">
        <v>157</v>
      </c>
      <c r="B1572" s="468" t="s">
        <v>2284</v>
      </c>
      <c r="C1572" s="469"/>
      <c r="D1572" s="468"/>
      <c r="E1572" s="470">
        <v>67.760000000000005</v>
      </c>
      <c r="F1572" s="470">
        <v>67.760000000000005</v>
      </c>
      <c r="G1572" s="470">
        <v>67.760000000000005</v>
      </c>
      <c r="H1572" s="470">
        <v>67.760000000000005</v>
      </c>
      <c r="I1572" s="471">
        <v>100</v>
      </c>
      <c r="J1572" s="471"/>
    </row>
    <row r="1573" spans="1:10" ht="76.5" outlineLevel="4">
      <c r="A1573" s="472" t="s">
        <v>157</v>
      </c>
      <c r="B1573" s="473" t="s">
        <v>2284</v>
      </c>
      <c r="C1573" s="474" t="s">
        <v>2139</v>
      </c>
      <c r="D1573" s="473" t="s">
        <v>2140</v>
      </c>
      <c r="E1573" s="475">
        <v>67.760000000000005</v>
      </c>
      <c r="F1573" s="475">
        <v>67.760000000000005</v>
      </c>
      <c r="G1573" s="475">
        <v>67.760000000000005</v>
      </c>
      <c r="H1573" s="475">
        <v>67.760000000000005</v>
      </c>
      <c r="I1573" s="471">
        <v>100</v>
      </c>
      <c r="J1573" s="471"/>
    </row>
    <row r="1574" spans="1:10" ht="76.5" outlineLevel="3">
      <c r="A1574" s="467" t="s">
        <v>1042</v>
      </c>
      <c r="B1574" s="468" t="s">
        <v>2285</v>
      </c>
      <c r="C1574" s="469"/>
      <c r="D1574" s="468"/>
      <c r="E1574" s="470">
        <v>20</v>
      </c>
      <c r="F1574" s="470">
        <v>20</v>
      </c>
      <c r="G1574" s="470">
        <v>0</v>
      </c>
      <c r="H1574" s="470">
        <v>0</v>
      </c>
      <c r="I1574" s="471">
        <v>0</v>
      </c>
      <c r="J1574" s="471"/>
    </row>
    <row r="1575" spans="1:10" ht="76.5" outlineLevel="4">
      <c r="A1575" s="472" t="s">
        <v>1042</v>
      </c>
      <c r="B1575" s="473" t="s">
        <v>2285</v>
      </c>
      <c r="C1575" s="474" t="s">
        <v>2139</v>
      </c>
      <c r="D1575" s="473" t="s">
        <v>2140</v>
      </c>
      <c r="E1575" s="475">
        <v>20</v>
      </c>
      <c r="F1575" s="475">
        <v>20</v>
      </c>
      <c r="G1575" s="475">
        <v>0</v>
      </c>
      <c r="H1575" s="475">
        <v>0</v>
      </c>
      <c r="I1575" s="471">
        <v>0</v>
      </c>
      <c r="J1575" s="471"/>
    </row>
    <row r="1576" spans="1:10" ht="114.75" outlineLevel="3">
      <c r="A1576" s="467" t="s">
        <v>2137</v>
      </c>
      <c r="B1576" s="468" t="s">
        <v>2286</v>
      </c>
      <c r="C1576" s="469"/>
      <c r="D1576" s="468"/>
      <c r="E1576" s="470">
        <v>3480.0729999999999</v>
      </c>
      <c r="F1576" s="470">
        <v>3480.0729999999999</v>
      </c>
      <c r="G1576" s="470">
        <v>2750.6447499999999</v>
      </c>
      <c r="H1576" s="470">
        <v>2347.6358399999999</v>
      </c>
      <c r="I1576" s="471">
        <v>67.459999999999994</v>
      </c>
      <c r="J1576" s="471"/>
    </row>
    <row r="1577" spans="1:10" ht="114.75" outlineLevel="4">
      <c r="A1577" s="472" t="s">
        <v>2137</v>
      </c>
      <c r="B1577" s="473" t="s">
        <v>2286</v>
      </c>
      <c r="C1577" s="474" t="s">
        <v>2139</v>
      </c>
      <c r="D1577" s="473" t="s">
        <v>2140</v>
      </c>
      <c r="E1577" s="475">
        <v>3480.0729999999999</v>
      </c>
      <c r="F1577" s="475">
        <v>3480.0729999999999</v>
      </c>
      <c r="G1577" s="475">
        <v>2750.6447499999999</v>
      </c>
      <c r="H1577" s="475">
        <v>2347.6358399999999</v>
      </c>
      <c r="I1577" s="471">
        <v>67.459999999999994</v>
      </c>
      <c r="J1577" s="476" t="s">
        <v>10</v>
      </c>
    </row>
    <row r="1578" spans="1:10" ht="51" outlineLevel="2">
      <c r="A1578" s="462" t="s">
        <v>2287</v>
      </c>
      <c r="B1578" s="463" t="s">
        <v>2288</v>
      </c>
      <c r="C1578" s="464"/>
      <c r="D1578" s="463"/>
      <c r="E1578" s="465">
        <v>154070.91735</v>
      </c>
      <c r="F1578" s="465">
        <v>154070.91735</v>
      </c>
      <c r="G1578" s="465">
        <v>82414.961169999995</v>
      </c>
      <c r="H1578" s="465">
        <v>74055.915389999995</v>
      </c>
      <c r="I1578" s="466">
        <v>48.07</v>
      </c>
      <c r="J1578" s="466"/>
    </row>
    <row r="1579" spans="1:10" ht="25.5" outlineLevel="3">
      <c r="A1579" s="467" t="s">
        <v>888</v>
      </c>
      <c r="B1579" s="468" t="s">
        <v>2289</v>
      </c>
      <c r="C1579" s="469"/>
      <c r="D1579" s="468"/>
      <c r="E1579" s="470">
        <v>143557.62536000001</v>
      </c>
      <c r="F1579" s="470">
        <v>143557.62536000001</v>
      </c>
      <c r="G1579" s="470">
        <v>77500</v>
      </c>
      <c r="H1579" s="470">
        <v>70001.187609999994</v>
      </c>
      <c r="I1579" s="471">
        <v>48.76</v>
      </c>
      <c r="J1579" s="471"/>
    </row>
    <row r="1580" spans="1:10" ht="25.5" outlineLevel="4">
      <c r="A1580" s="472" t="s">
        <v>888</v>
      </c>
      <c r="B1580" s="473" t="s">
        <v>2289</v>
      </c>
      <c r="C1580" s="474" t="s">
        <v>2275</v>
      </c>
      <c r="D1580" s="473" t="s">
        <v>2276</v>
      </c>
      <c r="E1580" s="475">
        <v>143557.62536000001</v>
      </c>
      <c r="F1580" s="475">
        <v>143557.62536000001</v>
      </c>
      <c r="G1580" s="475">
        <v>77500</v>
      </c>
      <c r="H1580" s="475">
        <v>70001.187609999994</v>
      </c>
      <c r="I1580" s="471">
        <v>48.76</v>
      </c>
      <c r="J1580" s="471"/>
    </row>
    <row r="1581" spans="1:10" ht="38.25" outlineLevel="3">
      <c r="A1581" s="467" t="s">
        <v>869</v>
      </c>
      <c r="B1581" s="468" t="s">
        <v>2290</v>
      </c>
      <c r="C1581" s="469"/>
      <c r="D1581" s="468"/>
      <c r="E1581" s="470">
        <v>5262.7879899999998</v>
      </c>
      <c r="F1581" s="470">
        <v>5262.7879899999998</v>
      </c>
      <c r="G1581" s="470">
        <v>1289.77117</v>
      </c>
      <c r="H1581" s="470">
        <v>768.58024999999998</v>
      </c>
      <c r="I1581" s="471">
        <v>14.6</v>
      </c>
      <c r="J1581" s="471"/>
    </row>
    <row r="1582" spans="1:10" ht="38.25" outlineLevel="4">
      <c r="A1582" s="472" t="s">
        <v>869</v>
      </c>
      <c r="B1582" s="473" t="s">
        <v>2290</v>
      </c>
      <c r="C1582" s="474" t="s">
        <v>2275</v>
      </c>
      <c r="D1582" s="473" t="s">
        <v>2276</v>
      </c>
      <c r="E1582" s="475">
        <v>5262.7879899999998</v>
      </c>
      <c r="F1582" s="475">
        <v>5262.7879899999998</v>
      </c>
      <c r="G1582" s="475">
        <v>1289.77117</v>
      </c>
      <c r="H1582" s="475">
        <v>768.58024999999998</v>
      </c>
      <c r="I1582" s="471">
        <v>14.6</v>
      </c>
      <c r="J1582" s="471"/>
    </row>
    <row r="1583" spans="1:10" ht="63.75" outlineLevel="3">
      <c r="A1583" s="467" t="s">
        <v>2291</v>
      </c>
      <c r="B1583" s="468" t="s">
        <v>2292</v>
      </c>
      <c r="C1583" s="469"/>
      <c r="D1583" s="468"/>
      <c r="E1583" s="470">
        <v>3585.5039999999999</v>
      </c>
      <c r="F1583" s="470">
        <v>3585.5039999999999</v>
      </c>
      <c r="G1583" s="470">
        <v>3108</v>
      </c>
      <c r="H1583" s="470">
        <v>3108</v>
      </c>
      <c r="I1583" s="471">
        <v>86.68</v>
      </c>
      <c r="J1583" s="471"/>
    </row>
    <row r="1584" spans="1:10" ht="63.75" outlineLevel="4">
      <c r="A1584" s="472" t="s">
        <v>2291</v>
      </c>
      <c r="B1584" s="473" t="s">
        <v>2292</v>
      </c>
      <c r="C1584" s="474" t="s">
        <v>2275</v>
      </c>
      <c r="D1584" s="473" t="s">
        <v>2276</v>
      </c>
      <c r="E1584" s="475">
        <v>3585.5039999999999</v>
      </c>
      <c r="F1584" s="475">
        <v>3585.5039999999999</v>
      </c>
      <c r="G1584" s="475">
        <v>3108</v>
      </c>
      <c r="H1584" s="475">
        <v>3108</v>
      </c>
      <c r="I1584" s="471">
        <v>86.68</v>
      </c>
      <c r="J1584" s="471"/>
    </row>
    <row r="1585" spans="1:10" ht="63.75" outlineLevel="3">
      <c r="A1585" s="467" t="s">
        <v>62</v>
      </c>
      <c r="B1585" s="468" t="s">
        <v>2293</v>
      </c>
      <c r="C1585" s="469"/>
      <c r="D1585" s="468"/>
      <c r="E1585" s="470">
        <v>1515</v>
      </c>
      <c r="F1585" s="470">
        <v>1515</v>
      </c>
      <c r="G1585" s="470">
        <v>460</v>
      </c>
      <c r="H1585" s="470">
        <v>120.95753000000001</v>
      </c>
      <c r="I1585" s="471">
        <v>7.98</v>
      </c>
      <c r="J1585" s="471"/>
    </row>
    <row r="1586" spans="1:10" ht="63.75" outlineLevel="4">
      <c r="A1586" s="472" t="s">
        <v>62</v>
      </c>
      <c r="B1586" s="473" t="s">
        <v>2293</v>
      </c>
      <c r="C1586" s="474" t="s">
        <v>2275</v>
      </c>
      <c r="D1586" s="473" t="s">
        <v>2276</v>
      </c>
      <c r="E1586" s="475">
        <v>1515</v>
      </c>
      <c r="F1586" s="475">
        <v>1515</v>
      </c>
      <c r="G1586" s="475">
        <v>460</v>
      </c>
      <c r="H1586" s="475">
        <v>120.95753000000001</v>
      </c>
      <c r="I1586" s="471">
        <v>7.98</v>
      </c>
      <c r="J1586" s="471"/>
    </row>
    <row r="1587" spans="1:10" ht="76.5" outlineLevel="3">
      <c r="A1587" s="467" t="s">
        <v>1042</v>
      </c>
      <c r="B1587" s="468" t="s">
        <v>2294</v>
      </c>
      <c r="C1587" s="469"/>
      <c r="D1587" s="468"/>
      <c r="E1587" s="470">
        <v>150</v>
      </c>
      <c r="F1587" s="470">
        <v>150</v>
      </c>
      <c r="G1587" s="470">
        <v>57.19</v>
      </c>
      <c r="H1587" s="470">
        <v>57.19</v>
      </c>
      <c r="I1587" s="471">
        <v>38.130000000000003</v>
      </c>
      <c r="J1587" s="471"/>
    </row>
    <row r="1588" spans="1:10" ht="76.5" outlineLevel="4">
      <c r="A1588" s="472" t="s">
        <v>1042</v>
      </c>
      <c r="B1588" s="473" t="s">
        <v>2294</v>
      </c>
      <c r="C1588" s="474" t="s">
        <v>2275</v>
      </c>
      <c r="D1588" s="473" t="s">
        <v>2276</v>
      </c>
      <c r="E1588" s="475">
        <v>150</v>
      </c>
      <c r="F1588" s="475">
        <v>150</v>
      </c>
      <c r="G1588" s="475">
        <v>57.19</v>
      </c>
      <c r="H1588" s="475">
        <v>57.19</v>
      </c>
      <c r="I1588" s="471">
        <v>38.130000000000003</v>
      </c>
      <c r="J1588" s="471"/>
    </row>
    <row r="1589" spans="1:10" ht="102" outlineLevel="2">
      <c r="A1589" s="462" t="s">
        <v>2295</v>
      </c>
      <c r="B1589" s="463" t="s">
        <v>2296</v>
      </c>
      <c r="C1589" s="464"/>
      <c r="D1589" s="463"/>
      <c r="E1589" s="465">
        <v>16601.986400000002</v>
      </c>
      <c r="F1589" s="465">
        <v>16601.986400000002</v>
      </c>
      <c r="G1589" s="465">
        <v>11009.22406</v>
      </c>
      <c r="H1589" s="465">
        <v>8091.6902499999997</v>
      </c>
      <c r="I1589" s="466">
        <v>48.74</v>
      </c>
      <c r="J1589" s="466"/>
    </row>
    <row r="1590" spans="1:10" ht="76.5" outlineLevel="3">
      <c r="A1590" s="467" t="s">
        <v>717</v>
      </c>
      <c r="B1590" s="468" t="s">
        <v>2297</v>
      </c>
      <c r="C1590" s="469"/>
      <c r="D1590" s="468"/>
      <c r="E1590" s="470">
        <v>16601.986400000002</v>
      </c>
      <c r="F1590" s="470">
        <v>16601.986400000002</v>
      </c>
      <c r="G1590" s="470">
        <v>11009.22406</v>
      </c>
      <c r="H1590" s="470">
        <v>8091.6902499999997</v>
      </c>
      <c r="I1590" s="471">
        <v>48.74</v>
      </c>
      <c r="J1590" s="471"/>
    </row>
    <row r="1591" spans="1:10" ht="76.5" outlineLevel="4">
      <c r="A1591" s="472" t="s">
        <v>717</v>
      </c>
      <c r="B1591" s="473" t="s">
        <v>2297</v>
      </c>
      <c r="C1591" s="474" t="s">
        <v>2275</v>
      </c>
      <c r="D1591" s="473" t="s">
        <v>2276</v>
      </c>
      <c r="E1591" s="475">
        <v>16601.986400000002</v>
      </c>
      <c r="F1591" s="475">
        <v>16601.986400000002</v>
      </c>
      <c r="G1591" s="475">
        <v>11009.22406</v>
      </c>
      <c r="H1591" s="475">
        <v>8091.6902499999997</v>
      </c>
      <c r="I1591" s="471">
        <v>48.74</v>
      </c>
      <c r="J1591" s="471"/>
    </row>
    <row r="1592" spans="1:10" ht="76.5" outlineLevel="2">
      <c r="A1592" s="462" t="s">
        <v>2298</v>
      </c>
      <c r="B1592" s="463" t="s">
        <v>2299</v>
      </c>
      <c r="C1592" s="464"/>
      <c r="D1592" s="463"/>
      <c r="E1592" s="465">
        <v>1757.5</v>
      </c>
      <c r="F1592" s="465">
        <v>1757.5</v>
      </c>
      <c r="G1592" s="465">
        <v>1757.5</v>
      </c>
      <c r="H1592" s="465">
        <v>1131.3</v>
      </c>
      <c r="I1592" s="466">
        <v>64.37</v>
      </c>
      <c r="J1592" s="466"/>
    </row>
    <row r="1593" spans="1:10" ht="51" outlineLevel="3">
      <c r="A1593" s="467" t="s">
        <v>2300</v>
      </c>
      <c r="B1593" s="468" t="s">
        <v>2301</v>
      </c>
      <c r="C1593" s="469"/>
      <c r="D1593" s="468"/>
      <c r="E1593" s="470">
        <v>747.5</v>
      </c>
      <c r="F1593" s="470">
        <v>747.5</v>
      </c>
      <c r="G1593" s="470">
        <v>747.5</v>
      </c>
      <c r="H1593" s="470">
        <v>255</v>
      </c>
      <c r="I1593" s="471">
        <v>34.11</v>
      </c>
      <c r="J1593" s="471"/>
    </row>
    <row r="1594" spans="1:10" ht="51" outlineLevel="4">
      <c r="A1594" s="472" t="s">
        <v>2300</v>
      </c>
      <c r="B1594" s="473" t="s">
        <v>2301</v>
      </c>
      <c r="C1594" s="474" t="s">
        <v>2275</v>
      </c>
      <c r="D1594" s="473" t="s">
        <v>2276</v>
      </c>
      <c r="E1594" s="475">
        <v>747.5</v>
      </c>
      <c r="F1594" s="475">
        <v>747.5</v>
      </c>
      <c r="G1594" s="475">
        <v>747.5</v>
      </c>
      <c r="H1594" s="475">
        <v>255</v>
      </c>
      <c r="I1594" s="471">
        <v>34.11</v>
      </c>
      <c r="J1594" s="471"/>
    </row>
    <row r="1595" spans="1:10" ht="51" outlineLevel="3">
      <c r="A1595" s="467" t="s">
        <v>2302</v>
      </c>
      <c r="B1595" s="468" t="s">
        <v>2303</v>
      </c>
      <c r="C1595" s="469"/>
      <c r="D1595" s="468"/>
      <c r="E1595" s="470">
        <v>860</v>
      </c>
      <c r="F1595" s="470">
        <v>860</v>
      </c>
      <c r="G1595" s="470">
        <v>860</v>
      </c>
      <c r="H1595" s="470">
        <v>831.3</v>
      </c>
      <c r="I1595" s="471">
        <v>96.66</v>
      </c>
      <c r="J1595" s="471"/>
    </row>
    <row r="1596" spans="1:10" ht="51" outlineLevel="4">
      <c r="A1596" s="472" t="s">
        <v>2302</v>
      </c>
      <c r="B1596" s="473" t="s">
        <v>2303</v>
      </c>
      <c r="C1596" s="474" t="s">
        <v>2275</v>
      </c>
      <c r="D1596" s="473" t="s">
        <v>2276</v>
      </c>
      <c r="E1596" s="475">
        <v>860</v>
      </c>
      <c r="F1596" s="475">
        <v>860</v>
      </c>
      <c r="G1596" s="475">
        <v>860</v>
      </c>
      <c r="H1596" s="475">
        <v>831.3</v>
      </c>
      <c r="I1596" s="471">
        <v>96.66</v>
      </c>
      <c r="J1596" s="471"/>
    </row>
    <row r="1597" spans="1:10" ht="38.25" outlineLevel="3">
      <c r="A1597" s="467" t="s">
        <v>2304</v>
      </c>
      <c r="B1597" s="468" t="s">
        <v>2305</v>
      </c>
      <c r="C1597" s="469"/>
      <c r="D1597" s="468"/>
      <c r="E1597" s="470">
        <v>150</v>
      </c>
      <c r="F1597" s="470">
        <v>150</v>
      </c>
      <c r="G1597" s="470">
        <v>150</v>
      </c>
      <c r="H1597" s="470">
        <v>45</v>
      </c>
      <c r="I1597" s="471">
        <v>30</v>
      </c>
      <c r="J1597" s="471"/>
    </row>
    <row r="1598" spans="1:10" ht="38.25" outlineLevel="4">
      <c r="A1598" s="472" t="s">
        <v>2304</v>
      </c>
      <c r="B1598" s="473" t="s">
        <v>2305</v>
      </c>
      <c r="C1598" s="474" t="s">
        <v>2275</v>
      </c>
      <c r="D1598" s="473" t="s">
        <v>2276</v>
      </c>
      <c r="E1598" s="475">
        <v>150</v>
      </c>
      <c r="F1598" s="475">
        <v>150</v>
      </c>
      <c r="G1598" s="475">
        <v>150</v>
      </c>
      <c r="H1598" s="475">
        <v>45</v>
      </c>
      <c r="I1598" s="471">
        <v>30</v>
      </c>
      <c r="J1598" s="471"/>
    </row>
    <row r="1599" spans="1:10" ht="127.5" outlineLevel="2">
      <c r="A1599" s="462" t="s">
        <v>2306</v>
      </c>
      <c r="B1599" s="463" t="s">
        <v>2307</v>
      </c>
      <c r="C1599" s="464"/>
      <c r="D1599" s="463"/>
      <c r="E1599" s="465">
        <v>465651.81831</v>
      </c>
      <c r="F1599" s="465">
        <v>399680.41830999998</v>
      </c>
      <c r="G1599" s="465">
        <v>212577.06880000001</v>
      </c>
      <c r="H1599" s="465">
        <v>212577.06880000001</v>
      </c>
      <c r="I1599" s="466">
        <v>45.65</v>
      </c>
      <c r="J1599" s="466"/>
    </row>
    <row r="1600" spans="1:10" ht="76.5" outlineLevel="3">
      <c r="A1600" s="467" t="s">
        <v>717</v>
      </c>
      <c r="B1600" s="468" t="s">
        <v>2308</v>
      </c>
      <c r="C1600" s="469"/>
      <c r="D1600" s="468"/>
      <c r="E1600" s="470">
        <v>457391.69831000001</v>
      </c>
      <c r="F1600" s="470">
        <v>391420.29830999998</v>
      </c>
      <c r="G1600" s="470">
        <v>205717.53580000001</v>
      </c>
      <c r="H1600" s="470">
        <v>205717.53580000001</v>
      </c>
      <c r="I1600" s="471">
        <v>44.98</v>
      </c>
      <c r="J1600" s="471"/>
    </row>
    <row r="1601" spans="1:10" ht="76.5" outlineLevel="4">
      <c r="A1601" s="472" t="s">
        <v>717</v>
      </c>
      <c r="B1601" s="473" t="s">
        <v>2308</v>
      </c>
      <c r="C1601" s="474" t="s">
        <v>2275</v>
      </c>
      <c r="D1601" s="473" t="s">
        <v>2276</v>
      </c>
      <c r="E1601" s="475">
        <v>457391.69831000001</v>
      </c>
      <c r="F1601" s="475">
        <v>391420.29830999998</v>
      </c>
      <c r="G1601" s="475">
        <v>205717.53580000001</v>
      </c>
      <c r="H1601" s="475">
        <v>205717.53580000001</v>
      </c>
      <c r="I1601" s="471">
        <v>44.98</v>
      </c>
      <c r="J1601" s="471"/>
    </row>
    <row r="1602" spans="1:10" ht="63.75" outlineLevel="3">
      <c r="A1602" s="467" t="s">
        <v>62</v>
      </c>
      <c r="B1602" s="468" t="s">
        <v>2309</v>
      </c>
      <c r="C1602" s="469"/>
      <c r="D1602" s="468"/>
      <c r="E1602" s="470">
        <v>6600</v>
      </c>
      <c r="F1602" s="470">
        <v>6600</v>
      </c>
      <c r="G1602" s="470">
        <v>6600</v>
      </c>
      <c r="H1602" s="470">
        <v>6600</v>
      </c>
      <c r="I1602" s="471">
        <v>100</v>
      </c>
      <c r="J1602" s="471"/>
    </row>
    <row r="1603" spans="1:10" ht="63.75" outlineLevel="4">
      <c r="A1603" s="472" t="s">
        <v>62</v>
      </c>
      <c r="B1603" s="473" t="s">
        <v>2309</v>
      </c>
      <c r="C1603" s="474" t="s">
        <v>2275</v>
      </c>
      <c r="D1603" s="473" t="s">
        <v>2276</v>
      </c>
      <c r="E1603" s="475">
        <v>6600</v>
      </c>
      <c r="F1603" s="475">
        <v>6600</v>
      </c>
      <c r="G1603" s="475">
        <v>6600</v>
      </c>
      <c r="H1603" s="475">
        <v>6600</v>
      </c>
      <c r="I1603" s="471">
        <v>100</v>
      </c>
      <c r="J1603" s="471"/>
    </row>
    <row r="1604" spans="1:10" ht="51" outlineLevel="3">
      <c r="A1604" s="467" t="s">
        <v>876</v>
      </c>
      <c r="B1604" s="468" t="s">
        <v>2310</v>
      </c>
      <c r="C1604" s="469"/>
      <c r="D1604" s="468"/>
      <c r="E1604" s="470">
        <v>1660.12</v>
      </c>
      <c r="F1604" s="470">
        <v>1660.12</v>
      </c>
      <c r="G1604" s="470">
        <v>259.53300000000002</v>
      </c>
      <c r="H1604" s="470">
        <v>259.53300000000002</v>
      </c>
      <c r="I1604" s="471">
        <v>15.63</v>
      </c>
      <c r="J1604" s="471"/>
    </row>
    <row r="1605" spans="1:10" ht="51" outlineLevel="4">
      <c r="A1605" s="472" t="s">
        <v>876</v>
      </c>
      <c r="B1605" s="473" t="s">
        <v>2310</v>
      </c>
      <c r="C1605" s="474" t="s">
        <v>2275</v>
      </c>
      <c r="D1605" s="473" t="s">
        <v>2276</v>
      </c>
      <c r="E1605" s="475">
        <v>1660.12</v>
      </c>
      <c r="F1605" s="475">
        <v>1660.12</v>
      </c>
      <c r="G1605" s="475">
        <v>259.53300000000002</v>
      </c>
      <c r="H1605" s="475">
        <v>259.53300000000002</v>
      </c>
      <c r="I1605" s="471">
        <v>15.63</v>
      </c>
      <c r="J1605" s="471"/>
    </row>
    <row r="1606" spans="1:10" ht="76.5" outlineLevel="2">
      <c r="A1606" s="462" t="s">
        <v>2311</v>
      </c>
      <c r="B1606" s="463" t="s">
        <v>2312</v>
      </c>
      <c r="C1606" s="464"/>
      <c r="D1606" s="463"/>
      <c r="E1606" s="465">
        <v>200</v>
      </c>
      <c r="F1606" s="465">
        <v>0</v>
      </c>
      <c r="G1606" s="465">
        <v>0</v>
      </c>
      <c r="H1606" s="465">
        <v>0</v>
      </c>
      <c r="I1606" s="466">
        <v>0</v>
      </c>
      <c r="J1606" s="466"/>
    </row>
    <row r="1607" spans="1:10" ht="25.5" outlineLevel="3">
      <c r="A1607" s="467" t="s">
        <v>728</v>
      </c>
      <c r="B1607" s="468" t="s">
        <v>2313</v>
      </c>
      <c r="C1607" s="469"/>
      <c r="D1607" s="468"/>
      <c r="E1607" s="470">
        <v>200</v>
      </c>
      <c r="F1607" s="470">
        <v>0</v>
      </c>
      <c r="G1607" s="470">
        <v>0</v>
      </c>
      <c r="H1607" s="470">
        <v>0</v>
      </c>
      <c r="I1607" s="471">
        <v>0</v>
      </c>
      <c r="J1607" s="471"/>
    </row>
    <row r="1608" spans="1:10" ht="38.25" outlineLevel="4">
      <c r="A1608" s="472" t="s">
        <v>728</v>
      </c>
      <c r="B1608" s="473" t="s">
        <v>2313</v>
      </c>
      <c r="C1608" s="474" t="s">
        <v>2280</v>
      </c>
      <c r="D1608" s="473" t="s">
        <v>2281</v>
      </c>
      <c r="E1608" s="475">
        <v>200</v>
      </c>
      <c r="F1608" s="475">
        <v>0</v>
      </c>
      <c r="G1608" s="475">
        <v>0</v>
      </c>
      <c r="H1608" s="475">
        <v>0</v>
      </c>
      <c r="I1608" s="471">
        <v>0</v>
      </c>
      <c r="J1608" s="471"/>
    </row>
    <row r="1609" spans="1:10" ht="51" outlineLevel="2">
      <c r="A1609" s="462" t="s">
        <v>2314</v>
      </c>
      <c r="B1609" s="463" t="s">
        <v>2315</v>
      </c>
      <c r="C1609" s="464"/>
      <c r="D1609" s="463"/>
      <c r="E1609" s="465">
        <v>300</v>
      </c>
      <c r="F1609" s="465">
        <v>0</v>
      </c>
      <c r="G1609" s="465">
        <v>0</v>
      </c>
      <c r="H1609" s="465">
        <v>0</v>
      </c>
      <c r="I1609" s="466">
        <v>0</v>
      </c>
      <c r="J1609" s="466"/>
    </row>
    <row r="1610" spans="1:10" ht="25.5" outlineLevel="3">
      <c r="A1610" s="467" t="s">
        <v>728</v>
      </c>
      <c r="B1610" s="468" t="s">
        <v>2316</v>
      </c>
      <c r="C1610" s="469"/>
      <c r="D1610" s="468"/>
      <c r="E1610" s="470">
        <v>300</v>
      </c>
      <c r="F1610" s="470">
        <v>0</v>
      </c>
      <c r="G1610" s="470">
        <v>0</v>
      </c>
      <c r="H1610" s="470">
        <v>0</v>
      </c>
      <c r="I1610" s="471">
        <v>0</v>
      </c>
      <c r="J1610" s="471"/>
    </row>
    <row r="1611" spans="1:10" ht="38.25" outlineLevel="4">
      <c r="A1611" s="472" t="s">
        <v>728</v>
      </c>
      <c r="B1611" s="473" t="s">
        <v>2316</v>
      </c>
      <c r="C1611" s="474" t="s">
        <v>2280</v>
      </c>
      <c r="D1611" s="473" t="s">
        <v>2281</v>
      </c>
      <c r="E1611" s="475">
        <v>300</v>
      </c>
      <c r="F1611" s="475">
        <v>0</v>
      </c>
      <c r="G1611" s="475">
        <v>0</v>
      </c>
      <c r="H1611" s="475">
        <v>0</v>
      </c>
      <c r="I1611" s="471">
        <v>0</v>
      </c>
      <c r="J1611" s="471"/>
    </row>
    <row r="1612" spans="1:10" ht="76.5" outlineLevel="2">
      <c r="A1612" s="462" t="s">
        <v>2317</v>
      </c>
      <c r="B1612" s="463" t="s">
        <v>2318</v>
      </c>
      <c r="C1612" s="464"/>
      <c r="D1612" s="463"/>
      <c r="E1612" s="465">
        <v>62440.04047</v>
      </c>
      <c r="F1612" s="465">
        <v>62440.04047</v>
      </c>
      <c r="G1612" s="465">
        <v>37609.41347</v>
      </c>
      <c r="H1612" s="465">
        <v>23712.314579999998</v>
      </c>
      <c r="I1612" s="466">
        <v>37.979999999999997</v>
      </c>
      <c r="J1612" s="466"/>
    </row>
    <row r="1613" spans="1:10" ht="114.75" outlineLevel="3">
      <c r="A1613" s="467" t="s">
        <v>2137</v>
      </c>
      <c r="B1613" s="468" t="s">
        <v>2319</v>
      </c>
      <c r="C1613" s="469"/>
      <c r="D1613" s="468"/>
      <c r="E1613" s="470">
        <v>62440.04047</v>
      </c>
      <c r="F1613" s="470">
        <v>62440.04047</v>
      </c>
      <c r="G1613" s="470">
        <v>37609.41347</v>
      </c>
      <c r="H1613" s="470">
        <v>23712.314579999998</v>
      </c>
      <c r="I1613" s="471">
        <v>37.979999999999997</v>
      </c>
      <c r="J1613" s="471"/>
    </row>
    <row r="1614" spans="1:10" ht="114.75" outlineLevel="4">
      <c r="A1614" s="472" t="s">
        <v>2137</v>
      </c>
      <c r="B1614" s="473" t="s">
        <v>2319</v>
      </c>
      <c r="C1614" s="474" t="s">
        <v>2139</v>
      </c>
      <c r="D1614" s="473" t="s">
        <v>2140</v>
      </c>
      <c r="E1614" s="475">
        <v>62440.04047</v>
      </c>
      <c r="F1614" s="475">
        <v>62440.04047</v>
      </c>
      <c r="G1614" s="475">
        <v>37609.41347</v>
      </c>
      <c r="H1614" s="475">
        <v>23712.314579999998</v>
      </c>
      <c r="I1614" s="471">
        <v>37.979999999999997</v>
      </c>
      <c r="J1614" s="476" t="s">
        <v>10</v>
      </c>
    </row>
    <row r="1615" spans="1:10" ht="51" outlineLevel="2">
      <c r="A1615" s="462" t="s">
        <v>2320</v>
      </c>
      <c r="B1615" s="463" t="s">
        <v>2321</v>
      </c>
      <c r="C1615" s="464"/>
      <c r="D1615" s="463"/>
      <c r="E1615" s="465">
        <v>25810.560000000001</v>
      </c>
      <c r="F1615" s="465">
        <v>25810.560000000001</v>
      </c>
      <c r="G1615" s="465">
        <v>22280.29</v>
      </c>
      <c r="H1615" s="465">
        <v>14259.58373</v>
      </c>
      <c r="I1615" s="466">
        <v>55.25</v>
      </c>
      <c r="J1615" s="466"/>
    </row>
    <row r="1616" spans="1:10" ht="127.5" outlineLevel="3">
      <c r="A1616" s="467" t="s">
        <v>2322</v>
      </c>
      <c r="B1616" s="468" t="s">
        <v>2323</v>
      </c>
      <c r="C1616" s="469"/>
      <c r="D1616" s="468"/>
      <c r="E1616" s="470">
        <v>6831.1</v>
      </c>
      <c r="F1616" s="470">
        <v>6831.1</v>
      </c>
      <c r="G1616" s="470">
        <v>6831.1</v>
      </c>
      <c r="H1616" s="470">
        <v>6831.1</v>
      </c>
      <c r="I1616" s="471">
        <v>100</v>
      </c>
      <c r="J1616" s="471"/>
    </row>
    <row r="1617" spans="1:10" ht="127.5" outlineLevel="4">
      <c r="A1617" s="472" t="s">
        <v>2322</v>
      </c>
      <c r="B1617" s="473" t="s">
        <v>2323</v>
      </c>
      <c r="C1617" s="474" t="s">
        <v>2139</v>
      </c>
      <c r="D1617" s="473" t="s">
        <v>2140</v>
      </c>
      <c r="E1617" s="475">
        <v>6831.1</v>
      </c>
      <c r="F1617" s="475">
        <v>6831.1</v>
      </c>
      <c r="G1617" s="475">
        <v>6831.1</v>
      </c>
      <c r="H1617" s="475">
        <v>6831.1</v>
      </c>
      <c r="I1617" s="471">
        <v>100</v>
      </c>
      <c r="J1617" s="471"/>
    </row>
    <row r="1618" spans="1:10" ht="114.75" outlineLevel="3">
      <c r="A1618" s="467" t="s">
        <v>2324</v>
      </c>
      <c r="B1618" s="468" t="s">
        <v>2325</v>
      </c>
      <c r="C1618" s="469"/>
      <c r="D1618" s="468"/>
      <c r="E1618" s="470">
        <v>194</v>
      </c>
      <c r="F1618" s="470">
        <v>194</v>
      </c>
      <c r="G1618" s="470">
        <v>188</v>
      </c>
      <c r="H1618" s="470">
        <v>30</v>
      </c>
      <c r="I1618" s="471">
        <v>15.46</v>
      </c>
      <c r="J1618" s="471"/>
    </row>
    <row r="1619" spans="1:10" ht="114.75" outlineLevel="4">
      <c r="A1619" s="472" t="s">
        <v>2324</v>
      </c>
      <c r="B1619" s="473" t="s">
        <v>2325</v>
      </c>
      <c r="C1619" s="474" t="s">
        <v>2139</v>
      </c>
      <c r="D1619" s="473" t="s">
        <v>2140</v>
      </c>
      <c r="E1619" s="475">
        <v>194</v>
      </c>
      <c r="F1619" s="475">
        <v>194</v>
      </c>
      <c r="G1619" s="475">
        <v>188</v>
      </c>
      <c r="H1619" s="475">
        <v>30</v>
      </c>
      <c r="I1619" s="471">
        <v>15.46</v>
      </c>
      <c r="J1619" s="471"/>
    </row>
    <row r="1620" spans="1:10" ht="38.25" outlineLevel="3">
      <c r="A1620" s="467" t="s">
        <v>2326</v>
      </c>
      <c r="B1620" s="468" t="s">
        <v>2327</v>
      </c>
      <c r="C1620" s="469"/>
      <c r="D1620" s="468"/>
      <c r="E1620" s="470">
        <v>18785.46</v>
      </c>
      <c r="F1620" s="470">
        <v>18785.46</v>
      </c>
      <c r="G1620" s="470">
        <v>15261.19</v>
      </c>
      <c r="H1620" s="470">
        <v>7398.4837299999999</v>
      </c>
      <c r="I1620" s="471">
        <v>39.380000000000003</v>
      </c>
      <c r="J1620" s="471"/>
    </row>
    <row r="1621" spans="1:10" ht="38.25" outlineLevel="4">
      <c r="A1621" s="472" t="s">
        <v>2326</v>
      </c>
      <c r="B1621" s="473" t="s">
        <v>2327</v>
      </c>
      <c r="C1621" s="474" t="s">
        <v>2139</v>
      </c>
      <c r="D1621" s="473" t="s">
        <v>2140</v>
      </c>
      <c r="E1621" s="475">
        <v>18785.46</v>
      </c>
      <c r="F1621" s="475">
        <v>18785.46</v>
      </c>
      <c r="G1621" s="475">
        <v>15261.19</v>
      </c>
      <c r="H1621" s="475">
        <v>7398.4837299999999</v>
      </c>
      <c r="I1621" s="471">
        <v>39.380000000000003</v>
      </c>
      <c r="J1621" s="471"/>
    </row>
    <row r="1622" spans="1:10" ht="76.5" outlineLevel="2">
      <c r="A1622" s="462" t="s">
        <v>2328</v>
      </c>
      <c r="B1622" s="463" t="s">
        <v>2329</v>
      </c>
      <c r="C1622" s="464"/>
      <c r="D1622" s="463"/>
      <c r="E1622" s="465">
        <v>2700</v>
      </c>
      <c r="F1622" s="465">
        <v>2700</v>
      </c>
      <c r="G1622" s="465">
        <v>2000</v>
      </c>
      <c r="H1622" s="465">
        <v>1032.674</v>
      </c>
      <c r="I1622" s="466">
        <v>38.25</v>
      </c>
      <c r="J1622" s="466"/>
    </row>
    <row r="1623" spans="1:10" ht="38.25" outlineLevel="3">
      <c r="A1623" s="467" t="s">
        <v>2330</v>
      </c>
      <c r="B1623" s="468" t="s">
        <v>2331</v>
      </c>
      <c r="C1623" s="469"/>
      <c r="D1623" s="468"/>
      <c r="E1623" s="470">
        <v>2700</v>
      </c>
      <c r="F1623" s="470">
        <v>2700</v>
      </c>
      <c r="G1623" s="470">
        <v>2000</v>
      </c>
      <c r="H1623" s="470">
        <v>1032.674</v>
      </c>
      <c r="I1623" s="471">
        <v>38.25</v>
      </c>
      <c r="J1623" s="471"/>
    </row>
    <row r="1624" spans="1:10" ht="38.25" outlineLevel="4">
      <c r="A1624" s="472" t="s">
        <v>2330</v>
      </c>
      <c r="B1624" s="473" t="s">
        <v>2331</v>
      </c>
      <c r="C1624" s="474" t="s">
        <v>2139</v>
      </c>
      <c r="D1624" s="473" t="s">
        <v>2140</v>
      </c>
      <c r="E1624" s="475">
        <v>2700</v>
      </c>
      <c r="F1624" s="475">
        <v>2700</v>
      </c>
      <c r="G1624" s="475">
        <v>2000</v>
      </c>
      <c r="H1624" s="475">
        <v>1032.674</v>
      </c>
      <c r="I1624" s="471">
        <v>38.25</v>
      </c>
      <c r="J1624" s="471"/>
    </row>
    <row r="1625" spans="1:10" ht="38.25" outlineLevel="2">
      <c r="A1625" s="462" t="s">
        <v>2332</v>
      </c>
      <c r="B1625" s="463" t="s">
        <v>2333</v>
      </c>
      <c r="C1625" s="464"/>
      <c r="D1625" s="463"/>
      <c r="E1625" s="465">
        <v>76.099999999999994</v>
      </c>
      <c r="F1625" s="465">
        <v>76.099999999999994</v>
      </c>
      <c r="G1625" s="465">
        <v>75.244</v>
      </c>
      <c r="H1625" s="465">
        <v>0.57099999999999995</v>
      </c>
      <c r="I1625" s="466">
        <v>0.75</v>
      </c>
      <c r="J1625" s="466"/>
    </row>
    <row r="1626" spans="1:10" ht="63.75" outlineLevel="3">
      <c r="A1626" s="467" t="s">
        <v>2334</v>
      </c>
      <c r="B1626" s="468" t="s">
        <v>2335</v>
      </c>
      <c r="C1626" s="469"/>
      <c r="D1626" s="468"/>
      <c r="E1626" s="470">
        <v>76.099999999999994</v>
      </c>
      <c r="F1626" s="470">
        <v>76.099999999999994</v>
      </c>
      <c r="G1626" s="470">
        <v>75.244</v>
      </c>
      <c r="H1626" s="470">
        <v>0.57099999999999995</v>
      </c>
      <c r="I1626" s="471">
        <v>0.75</v>
      </c>
      <c r="J1626" s="471"/>
    </row>
    <row r="1627" spans="1:10" ht="63.75" outlineLevel="4">
      <c r="A1627" s="472" t="s">
        <v>2334</v>
      </c>
      <c r="B1627" s="473" t="s">
        <v>2335</v>
      </c>
      <c r="C1627" s="474" t="s">
        <v>2139</v>
      </c>
      <c r="D1627" s="473" t="s">
        <v>2140</v>
      </c>
      <c r="E1627" s="475">
        <v>76.099999999999994</v>
      </c>
      <c r="F1627" s="475">
        <v>76.099999999999994</v>
      </c>
      <c r="G1627" s="475">
        <v>75.244</v>
      </c>
      <c r="H1627" s="475">
        <v>0.57099999999999995</v>
      </c>
      <c r="I1627" s="471">
        <v>0.75</v>
      </c>
      <c r="J1627" s="476" t="s">
        <v>10</v>
      </c>
    </row>
    <row r="1628" spans="1:10" ht="76.5" outlineLevel="2">
      <c r="A1628" s="462" t="s">
        <v>2336</v>
      </c>
      <c r="B1628" s="463" t="s">
        <v>2337</v>
      </c>
      <c r="C1628" s="464"/>
      <c r="D1628" s="463"/>
      <c r="E1628" s="465">
        <v>190</v>
      </c>
      <c r="F1628" s="465">
        <v>190</v>
      </c>
      <c r="G1628" s="465">
        <v>0</v>
      </c>
      <c r="H1628" s="465">
        <v>0</v>
      </c>
      <c r="I1628" s="466">
        <v>0</v>
      </c>
      <c r="J1628" s="466"/>
    </row>
    <row r="1629" spans="1:10" ht="25.5" outlineLevel="3">
      <c r="A1629" s="467" t="s">
        <v>728</v>
      </c>
      <c r="B1629" s="468" t="s">
        <v>2338</v>
      </c>
      <c r="C1629" s="469"/>
      <c r="D1629" s="468"/>
      <c r="E1629" s="470">
        <v>190</v>
      </c>
      <c r="F1629" s="470">
        <v>190</v>
      </c>
      <c r="G1629" s="470">
        <v>0</v>
      </c>
      <c r="H1629" s="470">
        <v>0</v>
      </c>
      <c r="I1629" s="471">
        <v>0</v>
      </c>
      <c r="J1629" s="471"/>
    </row>
    <row r="1630" spans="1:10" ht="25.5" outlineLevel="4">
      <c r="A1630" s="472" t="s">
        <v>728</v>
      </c>
      <c r="B1630" s="473" t="s">
        <v>2338</v>
      </c>
      <c r="C1630" s="474" t="s">
        <v>2339</v>
      </c>
      <c r="D1630" s="473" t="s">
        <v>2340</v>
      </c>
      <c r="E1630" s="475">
        <v>190</v>
      </c>
      <c r="F1630" s="475">
        <v>190</v>
      </c>
      <c r="G1630" s="475">
        <v>0</v>
      </c>
      <c r="H1630" s="475">
        <v>0</v>
      </c>
      <c r="I1630" s="471">
        <v>0</v>
      </c>
      <c r="J1630" s="471"/>
    </row>
    <row r="1631" spans="1:10" ht="38.25" outlineLevel="1">
      <c r="A1631" s="457" t="s">
        <v>2341</v>
      </c>
      <c r="B1631" s="458" t="s">
        <v>2342</v>
      </c>
      <c r="C1631" s="459"/>
      <c r="D1631" s="458"/>
      <c r="E1631" s="460">
        <v>189432.66660999999</v>
      </c>
      <c r="F1631" s="460">
        <v>187932.66660999999</v>
      </c>
      <c r="G1631" s="460">
        <v>74647.08296</v>
      </c>
      <c r="H1631" s="460">
        <v>72379.958670000007</v>
      </c>
      <c r="I1631" s="461">
        <v>38.21</v>
      </c>
      <c r="J1631" s="461"/>
    </row>
    <row r="1632" spans="1:10" ht="89.25" outlineLevel="2">
      <c r="A1632" s="462" t="s">
        <v>2343</v>
      </c>
      <c r="B1632" s="463" t="s">
        <v>2344</v>
      </c>
      <c r="C1632" s="464"/>
      <c r="D1632" s="463"/>
      <c r="E1632" s="465">
        <v>2975</v>
      </c>
      <c r="F1632" s="465">
        <v>2975</v>
      </c>
      <c r="G1632" s="465">
        <v>37.5</v>
      </c>
      <c r="H1632" s="465">
        <v>37.5</v>
      </c>
      <c r="I1632" s="466">
        <v>1.26</v>
      </c>
      <c r="J1632" s="466"/>
    </row>
    <row r="1633" spans="1:10" ht="51" outlineLevel="3">
      <c r="A1633" s="467" t="s">
        <v>876</v>
      </c>
      <c r="B1633" s="468" t="s">
        <v>2345</v>
      </c>
      <c r="C1633" s="469"/>
      <c r="D1633" s="468"/>
      <c r="E1633" s="470">
        <v>2975</v>
      </c>
      <c r="F1633" s="470">
        <v>2975</v>
      </c>
      <c r="G1633" s="470">
        <v>37.5</v>
      </c>
      <c r="H1633" s="470">
        <v>37.5</v>
      </c>
      <c r="I1633" s="471">
        <v>1.26</v>
      </c>
      <c r="J1633" s="471"/>
    </row>
    <row r="1634" spans="1:10" ht="51" outlineLevel="4">
      <c r="A1634" s="472" t="s">
        <v>876</v>
      </c>
      <c r="B1634" s="473" t="s">
        <v>2345</v>
      </c>
      <c r="C1634" s="474" t="s">
        <v>1999</v>
      </c>
      <c r="D1634" s="473" t="s">
        <v>2000</v>
      </c>
      <c r="E1634" s="475">
        <v>2975</v>
      </c>
      <c r="F1634" s="475">
        <v>2975</v>
      </c>
      <c r="G1634" s="475">
        <v>37.5</v>
      </c>
      <c r="H1634" s="475">
        <v>37.5</v>
      </c>
      <c r="I1634" s="471">
        <v>1.26</v>
      </c>
      <c r="J1634" s="471"/>
    </row>
    <row r="1635" spans="1:10" ht="38.25" outlineLevel="2">
      <c r="A1635" s="462" t="s">
        <v>2346</v>
      </c>
      <c r="B1635" s="463" t="s">
        <v>2347</v>
      </c>
      <c r="C1635" s="464"/>
      <c r="D1635" s="463"/>
      <c r="E1635" s="465">
        <v>11633.475</v>
      </c>
      <c r="F1635" s="465">
        <v>11633.475</v>
      </c>
      <c r="G1635" s="465">
        <v>0</v>
      </c>
      <c r="H1635" s="465">
        <v>0</v>
      </c>
      <c r="I1635" s="466">
        <v>0</v>
      </c>
      <c r="J1635" s="466"/>
    </row>
    <row r="1636" spans="1:10" ht="25.5" outlineLevel="3">
      <c r="A1636" s="467" t="s">
        <v>728</v>
      </c>
      <c r="B1636" s="468" t="s">
        <v>2348</v>
      </c>
      <c r="C1636" s="469"/>
      <c r="D1636" s="468"/>
      <c r="E1636" s="470">
        <v>11633.475</v>
      </c>
      <c r="F1636" s="470">
        <v>11633.475</v>
      </c>
      <c r="G1636" s="470">
        <v>0</v>
      </c>
      <c r="H1636" s="470">
        <v>0</v>
      </c>
      <c r="I1636" s="471">
        <v>0</v>
      </c>
      <c r="J1636" s="471"/>
    </row>
    <row r="1637" spans="1:10" ht="25.5" outlineLevel="4">
      <c r="A1637" s="472" t="s">
        <v>728</v>
      </c>
      <c r="B1637" s="473" t="s">
        <v>2348</v>
      </c>
      <c r="C1637" s="474" t="s">
        <v>1999</v>
      </c>
      <c r="D1637" s="473" t="s">
        <v>2000</v>
      </c>
      <c r="E1637" s="475">
        <v>11633.475</v>
      </c>
      <c r="F1637" s="475">
        <v>11633.475</v>
      </c>
      <c r="G1637" s="475">
        <v>0</v>
      </c>
      <c r="H1637" s="475">
        <v>0</v>
      </c>
      <c r="I1637" s="471">
        <v>0</v>
      </c>
      <c r="J1637" s="471"/>
    </row>
    <row r="1638" spans="1:10" ht="76.5" outlineLevel="2">
      <c r="A1638" s="462" t="s">
        <v>2349</v>
      </c>
      <c r="B1638" s="463" t="s">
        <v>2350</v>
      </c>
      <c r="C1638" s="464"/>
      <c r="D1638" s="463"/>
      <c r="E1638" s="465">
        <v>174824.19161000001</v>
      </c>
      <c r="F1638" s="465">
        <v>173324.19161000001</v>
      </c>
      <c r="G1638" s="465">
        <v>74609.58296</v>
      </c>
      <c r="H1638" s="465">
        <v>72342.458670000007</v>
      </c>
      <c r="I1638" s="466">
        <v>41.38</v>
      </c>
      <c r="J1638" s="466"/>
    </row>
    <row r="1639" spans="1:10" ht="25.5" outlineLevel="3">
      <c r="A1639" s="467" t="s">
        <v>888</v>
      </c>
      <c r="B1639" s="468" t="s">
        <v>2351</v>
      </c>
      <c r="C1639" s="469"/>
      <c r="D1639" s="468"/>
      <c r="E1639" s="470">
        <v>36048.638469999998</v>
      </c>
      <c r="F1639" s="470">
        <v>36048.638469999998</v>
      </c>
      <c r="G1639" s="470">
        <v>18257.920730000002</v>
      </c>
      <c r="H1639" s="470">
        <v>16908.033640000001</v>
      </c>
      <c r="I1639" s="471">
        <v>46.9</v>
      </c>
      <c r="J1639" s="471"/>
    </row>
    <row r="1640" spans="1:10" ht="25.5" outlineLevel="4">
      <c r="A1640" s="472" t="s">
        <v>888</v>
      </c>
      <c r="B1640" s="473" t="s">
        <v>2351</v>
      </c>
      <c r="C1640" s="474" t="s">
        <v>1999</v>
      </c>
      <c r="D1640" s="473" t="s">
        <v>2000</v>
      </c>
      <c r="E1640" s="475">
        <v>36048.638469999998</v>
      </c>
      <c r="F1640" s="475">
        <v>36048.638469999998</v>
      </c>
      <c r="G1640" s="475">
        <v>18257.920730000002</v>
      </c>
      <c r="H1640" s="475">
        <v>16908.033640000001</v>
      </c>
      <c r="I1640" s="471">
        <v>46.9</v>
      </c>
      <c r="J1640" s="471"/>
    </row>
    <row r="1641" spans="1:10" ht="38.25" outlineLevel="3">
      <c r="A1641" s="467" t="s">
        <v>869</v>
      </c>
      <c r="B1641" s="468" t="s">
        <v>2352</v>
      </c>
      <c r="C1641" s="469"/>
      <c r="D1641" s="468"/>
      <c r="E1641" s="470">
        <v>1345.008</v>
      </c>
      <c r="F1641" s="470">
        <v>1345.008</v>
      </c>
      <c r="G1641" s="470">
        <v>472.35784999999998</v>
      </c>
      <c r="H1641" s="470">
        <v>470.60415</v>
      </c>
      <c r="I1641" s="471">
        <v>34.99</v>
      </c>
      <c r="J1641" s="471"/>
    </row>
    <row r="1642" spans="1:10" ht="38.25" outlineLevel="4">
      <c r="A1642" s="472" t="s">
        <v>869</v>
      </c>
      <c r="B1642" s="473" t="s">
        <v>2352</v>
      </c>
      <c r="C1642" s="474" t="s">
        <v>1999</v>
      </c>
      <c r="D1642" s="473" t="s">
        <v>2000</v>
      </c>
      <c r="E1642" s="475">
        <v>1345.008</v>
      </c>
      <c r="F1642" s="475">
        <v>1345.008</v>
      </c>
      <c r="G1642" s="475">
        <v>472.35784999999998</v>
      </c>
      <c r="H1642" s="475">
        <v>470.60415</v>
      </c>
      <c r="I1642" s="471">
        <v>34.99</v>
      </c>
      <c r="J1642" s="471"/>
    </row>
    <row r="1643" spans="1:10" ht="76.5" outlineLevel="3">
      <c r="A1643" s="467" t="s">
        <v>717</v>
      </c>
      <c r="B1643" s="468" t="s">
        <v>2353</v>
      </c>
      <c r="C1643" s="469"/>
      <c r="D1643" s="468"/>
      <c r="E1643" s="470">
        <v>132284.14514000001</v>
      </c>
      <c r="F1643" s="470">
        <v>130784.14513999999</v>
      </c>
      <c r="G1643" s="470">
        <v>55045.771030000004</v>
      </c>
      <c r="H1643" s="470">
        <v>54130.287530000001</v>
      </c>
      <c r="I1643" s="471">
        <v>40.92</v>
      </c>
      <c r="J1643" s="471"/>
    </row>
    <row r="1644" spans="1:10" ht="76.5" outlineLevel="4">
      <c r="A1644" s="472" t="s">
        <v>717</v>
      </c>
      <c r="B1644" s="473" t="s">
        <v>2353</v>
      </c>
      <c r="C1644" s="474" t="s">
        <v>1999</v>
      </c>
      <c r="D1644" s="473" t="s">
        <v>2000</v>
      </c>
      <c r="E1644" s="475">
        <v>132284.14514000001</v>
      </c>
      <c r="F1644" s="475">
        <v>130784.14513999999</v>
      </c>
      <c r="G1644" s="475">
        <v>55045.771030000004</v>
      </c>
      <c r="H1644" s="475">
        <v>54130.287530000001</v>
      </c>
      <c r="I1644" s="471">
        <v>40.92</v>
      </c>
      <c r="J1644" s="471"/>
    </row>
    <row r="1645" spans="1:10" ht="63.75" outlineLevel="3">
      <c r="A1645" s="467" t="s">
        <v>62</v>
      </c>
      <c r="B1645" s="468" t="s">
        <v>2354</v>
      </c>
      <c r="C1645" s="469"/>
      <c r="D1645" s="468"/>
      <c r="E1645" s="470">
        <v>1971.4</v>
      </c>
      <c r="F1645" s="470">
        <v>1971.4</v>
      </c>
      <c r="G1645" s="470">
        <v>30</v>
      </c>
      <c r="H1645" s="470">
        <v>30</v>
      </c>
      <c r="I1645" s="471">
        <v>1.52</v>
      </c>
      <c r="J1645" s="471"/>
    </row>
    <row r="1646" spans="1:10" ht="63.75" outlineLevel="4">
      <c r="A1646" s="472" t="s">
        <v>62</v>
      </c>
      <c r="B1646" s="473" t="s">
        <v>2354</v>
      </c>
      <c r="C1646" s="474" t="s">
        <v>1999</v>
      </c>
      <c r="D1646" s="473" t="s">
        <v>2000</v>
      </c>
      <c r="E1646" s="475">
        <v>1971.4</v>
      </c>
      <c r="F1646" s="475">
        <v>1971.4</v>
      </c>
      <c r="G1646" s="475">
        <v>30</v>
      </c>
      <c r="H1646" s="475">
        <v>30</v>
      </c>
      <c r="I1646" s="471">
        <v>1.52</v>
      </c>
      <c r="J1646" s="471"/>
    </row>
    <row r="1647" spans="1:10" ht="51" outlineLevel="3">
      <c r="A1647" s="467" t="s">
        <v>876</v>
      </c>
      <c r="B1647" s="468" t="s">
        <v>2355</v>
      </c>
      <c r="C1647" s="469"/>
      <c r="D1647" s="468"/>
      <c r="E1647" s="470">
        <v>2725</v>
      </c>
      <c r="F1647" s="470">
        <v>2725</v>
      </c>
      <c r="G1647" s="470">
        <v>583.33335</v>
      </c>
      <c r="H1647" s="470">
        <v>583.33335</v>
      </c>
      <c r="I1647" s="471">
        <v>21.41</v>
      </c>
      <c r="J1647" s="471"/>
    </row>
    <row r="1648" spans="1:10" ht="51" outlineLevel="4">
      <c r="A1648" s="472" t="s">
        <v>876</v>
      </c>
      <c r="B1648" s="473" t="s">
        <v>2355</v>
      </c>
      <c r="C1648" s="474" t="s">
        <v>1999</v>
      </c>
      <c r="D1648" s="473" t="s">
        <v>2000</v>
      </c>
      <c r="E1648" s="475">
        <v>2725</v>
      </c>
      <c r="F1648" s="475">
        <v>2725</v>
      </c>
      <c r="G1648" s="475">
        <v>583.33335</v>
      </c>
      <c r="H1648" s="475">
        <v>583.33335</v>
      </c>
      <c r="I1648" s="471">
        <v>21.41</v>
      </c>
      <c r="J1648" s="471"/>
    </row>
    <row r="1649" spans="1:10" ht="25.5" outlineLevel="3">
      <c r="A1649" s="467" t="s">
        <v>728</v>
      </c>
      <c r="B1649" s="468" t="s">
        <v>2356</v>
      </c>
      <c r="C1649" s="469"/>
      <c r="D1649" s="468"/>
      <c r="E1649" s="470">
        <v>450</v>
      </c>
      <c r="F1649" s="470">
        <v>450</v>
      </c>
      <c r="G1649" s="470">
        <v>220.2</v>
      </c>
      <c r="H1649" s="470">
        <v>220.2</v>
      </c>
      <c r="I1649" s="471">
        <v>48.93</v>
      </c>
      <c r="J1649" s="471"/>
    </row>
    <row r="1650" spans="1:10" ht="25.5" outlineLevel="4">
      <c r="A1650" s="472" t="s">
        <v>728</v>
      </c>
      <c r="B1650" s="473" t="s">
        <v>2356</v>
      </c>
      <c r="C1650" s="474" t="s">
        <v>1999</v>
      </c>
      <c r="D1650" s="473" t="s">
        <v>2000</v>
      </c>
      <c r="E1650" s="475">
        <v>450</v>
      </c>
      <c r="F1650" s="475">
        <v>450</v>
      </c>
      <c r="G1650" s="475">
        <v>220.2</v>
      </c>
      <c r="H1650" s="475">
        <v>220.2</v>
      </c>
      <c r="I1650" s="471">
        <v>48.93</v>
      </c>
      <c r="J1650" s="471"/>
    </row>
    <row r="1651" spans="1:10" ht="51" outlineLevel="1">
      <c r="A1651" s="457" t="s">
        <v>526</v>
      </c>
      <c r="B1651" s="458" t="s">
        <v>2357</v>
      </c>
      <c r="C1651" s="459"/>
      <c r="D1651" s="458"/>
      <c r="E1651" s="460">
        <v>135773.00338000001</v>
      </c>
      <c r="F1651" s="460">
        <v>122264.47938</v>
      </c>
      <c r="G1651" s="460">
        <v>40913.32692</v>
      </c>
      <c r="H1651" s="460">
        <v>38170.2068</v>
      </c>
      <c r="I1651" s="461">
        <v>28.11</v>
      </c>
      <c r="J1651" s="461"/>
    </row>
    <row r="1652" spans="1:10" ht="51" outlineLevel="2">
      <c r="A1652" s="462" t="s">
        <v>2358</v>
      </c>
      <c r="B1652" s="463" t="s">
        <v>2359</v>
      </c>
      <c r="C1652" s="464"/>
      <c r="D1652" s="463"/>
      <c r="E1652" s="465">
        <v>14004.36983</v>
      </c>
      <c r="F1652" s="465">
        <v>14004.36983</v>
      </c>
      <c r="G1652" s="465">
        <v>8295.6394</v>
      </c>
      <c r="H1652" s="465">
        <v>8295.1403200000004</v>
      </c>
      <c r="I1652" s="466">
        <v>59.23</v>
      </c>
      <c r="J1652" s="466"/>
    </row>
    <row r="1653" spans="1:10" ht="76.5" outlineLevel="3">
      <c r="A1653" s="467" t="s">
        <v>717</v>
      </c>
      <c r="B1653" s="468" t="s">
        <v>2360</v>
      </c>
      <c r="C1653" s="469"/>
      <c r="D1653" s="468"/>
      <c r="E1653" s="470">
        <v>7932.6311900000001</v>
      </c>
      <c r="F1653" s="470">
        <v>7932.6311900000001</v>
      </c>
      <c r="G1653" s="470">
        <v>3572</v>
      </c>
      <c r="H1653" s="470">
        <v>3572</v>
      </c>
      <c r="I1653" s="471">
        <v>45.03</v>
      </c>
      <c r="J1653" s="471"/>
    </row>
    <row r="1654" spans="1:10" ht="76.5" outlineLevel="4">
      <c r="A1654" s="472" t="s">
        <v>717</v>
      </c>
      <c r="B1654" s="473" t="s">
        <v>2360</v>
      </c>
      <c r="C1654" s="474" t="s">
        <v>2339</v>
      </c>
      <c r="D1654" s="473" t="s">
        <v>2340</v>
      </c>
      <c r="E1654" s="475">
        <v>7932.6311900000001</v>
      </c>
      <c r="F1654" s="475">
        <v>7932.6311900000001</v>
      </c>
      <c r="G1654" s="475">
        <v>3572</v>
      </c>
      <c r="H1654" s="475">
        <v>3572</v>
      </c>
      <c r="I1654" s="471">
        <v>45.03</v>
      </c>
      <c r="J1654" s="471"/>
    </row>
    <row r="1655" spans="1:10" ht="25.5" outlineLevel="3">
      <c r="A1655" s="467" t="s">
        <v>721</v>
      </c>
      <c r="B1655" s="468" t="s">
        <v>2361</v>
      </c>
      <c r="C1655" s="469"/>
      <c r="D1655" s="468"/>
      <c r="E1655" s="470">
        <v>2208.77043</v>
      </c>
      <c r="F1655" s="470">
        <v>2208.77043</v>
      </c>
      <c r="G1655" s="470">
        <v>2208.77043</v>
      </c>
      <c r="H1655" s="470">
        <v>2208.77043</v>
      </c>
      <c r="I1655" s="471">
        <v>100</v>
      </c>
      <c r="J1655" s="471"/>
    </row>
    <row r="1656" spans="1:10" ht="25.5" outlineLevel="4">
      <c r="A1656" s="472" t="s">
        <v>721</v>
      </c>
      <c r="B1656" s="473" t="s">
        <v>2361</v>
      </c>
      <c r="C1656" s="474" t="s">
        <v>2339</v>
      </c>
      <c r="D1656" s="473" t="s">
        <v>2340</v>
      </c>
      <c r="E1656" s="475">
        <v>2208.77043</v>
      </c>
      <c r="F1656" s="475">
        <v>2208.77043</v>
      </c>
      <c r="G1656" s="475">
        <v>2208.77043</v>
      </c>
      <c r="H1656" s="475">
        <v>2208.77043</v>
      </c>
      <c r="I1656" s="471">
        <v>100</v>
      </c>
      <c r="J1656" s="471"/>
    </row>
    <row r="1657" spans="1:10" ht="38.25" outlineLevel="3">
      <c r="A1657" s="467" t="s">
        <v>2362</v>
      </c>
      <c r="B1657" s="468" t="s">
        <v>2363</v>
      </c>
      <c r="C1657" s="469"/>
      <c r="D1657" s="468"/>
      <c r="E1657" s="470">
        <v>2163.9436599999999</v>
      </c>
      <c r="F1657" s="470">
        <v>2163.9436599999999</v>
      </c>
      <c r="G1657" s="470">
        <v>1913.9436599999999</v>
      </c>
      <c r="H1657" s="470">
        <v>1913.9436599999999</v>
      </c>
      <c r="I1657" s="471">
        <v>88.45</v>
      </c>
      <c r="J1657" s="471"/>
    </row>
    <row r="1658" spans="1:10" ht="38.25" outlineLevel="4">
      <c r="A1658" s="472" t="s">
        <v>2362</v>
      </c>
      <c r="B1658" s="473" t="s">
        <v>2363</v>
      </c>
      <c r="C1658" s="474" t="s">
        <v>2339</v>
      </c>
      <c r="D1658" s="473" t="s">
        <v>2340</v>
      </c>
      <c r="E1658" s="475">
        <v>2163.9436599999999</v>
      </c>
      <c r="F1658" s="475">
        <v>2163.9436599999999</v>
      </c>
      <c r="G1658" s="475">
        <v>1913.9436599999999</v>
      </c>
      <c r="H1658" s="475">
        <v>1913.9436599999999</v>
      </c>
      <c r="I1658" s="471">
        <v>88.45</v>
      </c>
      <c r="J1658" s="471"/>
    </row>
    <row r="1659" spans="1:10" ht="38.25" outlineLevel="3">
      <c r="A1659" s="467" t="s">
        <v>2364</v>
      </c>
      <c r="B1659" s="468" t="s">
        <v>2365</v>
      </c>
      <c r="C1659" s="469"/>
      <c r="D1659" s="468"/>
      <c r="E1659" s="470">
        <v>1699.0245500000001</v>
      </c>
      <c r="F1659" s="470">
        <v>1699.0245500000001</v>
      </c>
      <c r="G1659" s="470">
        <v>600.92530999999997</v>
      </c>
      <c r="H1659" s="470">
        <v>600.42623000000003</v>
      </c>
      <c r="I1659" s="471">
        <v>35.340000000000003</v>
      </c>
      <c r="J1659" s="471"/>
    </row>
    <row r="1660" spans="1:10" ht="38.25" outlineLevel="4">
      <c r="A1660" s="472" t="s">
        <v>2364</v>
      </c>
      <c r="B1660" s="473" t="s">
        <v>2365</v>
      </c>
      <c r="C1660" s="474" t="s">
        <v>2339</v>
      </c>
      <c r="D1660" s="473" t="s">
        <v>2340</v>
      </c>
      <c r="E1660" s="475">
        <v>1699.0245500000001</v>
      </c>
      <c r="F1660" s="475">
        <v>1699.0245500000001</v>
      </c>
      <c r="G1660" s="475">
        <v>600.92530999999997</v>
      </c>
      <c r="H1660" s="475">
        <v>600.42623000000003</v>
      </c>
      <c r="I1660" s="471">
        <v>35.340000000000003</v>
      </c>
      <c r="J1660" s="471"/>
    </row>
    <row r="1661" spans="1:10" ht="165.75" outlineLevel="2">
      <c r="A1661" s="462" t="s">
        <v>2366</v>
      </c>
      <c r="B1661" s="463" t="s">
        <v>2367</v>
      </c>
      <c r="C1661" s="464"/>
      <c r="D1661" s="463"/>
      <c r="E1661" s="465">
        <v>41557.8442</v>
      </c>
      <c r="F1661" s="465">
        <v>41337.8442</v>
      </c>
      <c r="G1661" s="465">
        <v>23206.941210000001</v>
      </c>
      <c r="H1661" s="465">
        <v>20764.320169999999</v>
      </c>
      <c r="I1661" s="466">
        <v>49.96</v>
      </c>
      <c r="J1661" s="466"/>
    </row>
    <row r="1662" spans="1:10" ht="25.5" outlineLevel="3">
      <c r="A1662" s="467" t="s">
        <v>888</v>
      </c>
      <c r="B1662" s="468" t="s">
        <v>2368</v>
      </c>
      <c r="C1662" s="469"/>
      <c r="D1662" s="468"/>
      <c r="E1662" s="470">
        <v>39214.464950000001</v>
      </c>
      <c r="F1662" s="470">
        <v>39214.464950000001</v>
      </c>
      <c r="G1662" s="470">
        <v>22440.708699999999</v>
      </c>
      <c r="H1662" s="470">
        <v>20096.670460000001</v>
      </c>
      <c r="I1662" s="471">
        <v>51.25</v>
      </c>
      <c r="J1662" s="471"/>
    </row>
    <row r="1663" spans="1:10" ht="25.5" outlineLevel="4">
      <c r="A1663" s="472" t="s">
        <v>888</v>
      </c>
      <c r="B1663" s="473" t="s">
        <v>2368</v>
      </c>
      <c r="C1663" s="474" t="s">
        <v>2339</v>
      </c>
      <c r="D1663" s="473" t="s">
        <v>2340</v>
      </c>
      <c r="E1663" s="475">
        <v>39214.464950000001</v>
      </c>
      <c r="F1663" s="475">
        <v>39214.464950000001</v>
      </c>
      <c r="G1663" s="475">
        <v>22440.708699999999</v>
      </c>
      <c r="H1663" s="475">
        <v>20096.670460000001</v>
      </c>
      <c r="I1663" s="471">
        <v>51.25</v>
      </c>
      <c r="J1663" s="471"/>
    </row>
    <row r="1664" spans="1:10" ht="38.25" outlineLevel="3">
      <c r="A1664" s="467" t="s">
        <v>869</v>
      </c>
      <c r="B1664" s="468" t="s">
        <v>2369</v>
      </c>
      <c r="C1664" s="469"/>
      <c r="D1664" s="468"/>
      <c r="E1664" s="470">
        <v>827.21924999999999</v>
      </c>
      <c r="F1664" s="470">
        <v>827.21924999999999</v>
      </c>
      <c r="G1664" s="470">
        <v>390.04291000000001</v>
      </c>
      <c r="H1664" s="470">
        <v>308.32988999999998</v>
      </c>
      <c r="I1664" s="471">
        <v>37.270000000000003</v>
      </c>
      <c r="J1664" s="471"/>
    </row>
    <row r="1665" spans="1:10" ht="38.25" outlineLevel="4">
      <c r="A1665" s="472" t="s">
        <v>869</v>
      </c>
      <c r="B1665" s="473" t="s">
        <v>2369</v>
      </c>
      <c r="C1665" s="474" t="s">
        <v>2339</v>
      </c>
      <c r="D1665" s="473" t="s">
        <v>2340</v>
      </c>
      <c r="E1665" s="475">
        <v>827.21924999999999</v>
      </c>
      <c r="F1665" s="475">
        <v>827.21924999999999</v>
      </c>
      <c r="G1665" s="475">
        <v>390.04291000000001</v>
      </c>
      <c r="H1665" s="475">
        <v>308.32988999999998</v>
      </c>
      <c r="I1665" s="471">
        <v>37.270000000000003</v>
      </c>
      <c r="J1665" s="471"/>
    </row>
    <row r="1666" spans="1:10" ht="63.75" outlineLevel="3">
      <c r="A1666" s="467" t="s">
        <v>62</v>
      </c>
      <c r="B1666" s="468" t="s">
        <v>2370</v>
      </c>
      <c r="C1666" s="469"/>
      <c r="D1666" s="468"/>
      <c r="E1666" s="470">
        <v>1143.9703999999999</v>
      </c>
      <c r="F1666" s="470">
        <v>923.97040000000004</v>
      </c>
      <c r="G1666" s="470">
        <v>230</v>
      </c>
      <c r="H1666" s="470">
        <v>213.13022000000001</v>
      </c>
      <c r="I1666" s="471">
        <v>18.63</v>
      </c>
      <c r="J1666" s="471"/>
    </row>
    <row r="1667" spans="1:10" ht="63.75" outlineLevel="4">
      <c r="A1667" s="472" t="s">
        <v>62</v>
      </c>
      <c r="B1667" s="473" t="s">
        <v>2370</v>
      </c>
      <c r="C1667" s="474" t="s">
        <v>2339</v>
      </c>
      <c r="D1667" s="473" t="s">
        <v>2340</v>
      </c>
      <c r="E1667" s="475">
        <v>843.97040000000004</v>
      </c>
      <c r="F1667" s="475">
        <v>843.97040000000004</v>
      </c>
      <c r="G1667" s="475">
        <v>150</v>
      </c>
      <c r="H1667" s="475">
        <v>133.13022000000001</v>
      </c>
      <c r="I1667" s="471">
        <v>15.77</v>
      </c>
      <c r="J1667" s="471"/>
    </row>
    <row r="1668" spans="1:10" ht="63.75" outlineLevel="4">
      <c r="A1668" s="472" t="s">
        <v>62</v>
      </c>
      <c r="B1668" s="473" t="s">
        <v>2370</v>
      </c>
      <c r="C1668" s="474" t="s">
        <v>667</v>
      </c>
      <c r="D1668" s="473" t="s">
        <v>732</v>
      </c>
      <c r="E1668" s="475">
        <v>300</v>
      </c>
      <c r="F1668" s="475">
        <v>80</v>
      </c>
      <c r="G1668" s="475">
        <v>80</v>
      </c>
      <c r="H1668" s="475">
        <v>80</v>
      </c>
      <c r="I1668" s="471">
        <v>26.67</v>
      </c>
      <c r="J1668" s="471"/>
    </row>
    <row r="1669" spans="1:10" ht="76.5" outlineLevel="3">
      <c r="A1669" s="467" t="s">
        <v>157</v>
      </c>
      <c r="B1669" s="468" t="s">
        <v>2371</v>
      </c>
      <c r="C1669" s="469"/>
      <c r="D1669" s="468"/>
      <c r="E1669" s="470">
        <v>23.189599999999999</v>
      </c>
      <c r="F1669" s="470">
        <v>23.189599999999999</v>
      </c>
      <c r="G1669" s="470">
        <v>23.189599999999999</v>
      </c>
      <c r="H1669" s="470">
        <v>23.189599999999999</v>
      </c>
      <c r="I1669" s="471">
        <v>100</v>
      </c>
      <c r="J1669" s="471"/>
    </row>
    <row r="1670" spans="1:10" ht="76.5" outlineLevel="4">
      <c r="A1670" s="472" t="s">
        <v>157</v>
      </c>
      <c r="B1670" s="473" t="s">
        <v>2371</v>
      </c>
      <c r="C1670" s="474" t="s">
        <v>2339</v>
      </c>
      <c r="D1670" s="473" t="s">
        <v>2340</v>
      </c>
      <c r="E1670" s="475">
        <v>23.189599999999999</v>
      </c>
      <c r="F1670" s="475">
        <v>23.189599999999999</v>
      </c>
      <c r="G1670" s="475">
        <v>23.189599999999999</v>
      </c>
      <c r="H1670" s="475">
        <v>23.189599999999999</v>
      </c>
      <c r="I1670" s="471">
        <v>100</v>
      </c>
      <c r="J1670" s="471"/>
    </row>
    <row r="1671" spans="1:10" ht="76.5" outlineLevel="3">
      <c r="A1671" s="467" t="s">
        <v>1042</v>
      </c>
      <c r="B1671" s="468" t="s">
        <v>2372</v>
      </c>
      <c r="C1671" s="469"/>
      <c r="D1671" s="468"/>
      <c r="E1671" s="470">
        <v>79</v>
      </c>
      <c r="F1671" s="470">
        <v>79</v>
      </c>
      <c r="G1671" s="470">
        <v>5</v>
      </c>
      <c r="H1671" s="470">
        <v>5</v>
      </c>
      <c r="I1671" s="471">
        <v>6.33</v>
      </c>
      <c r="J1671" s="471"/>
    </row>
    <row r="1672" spans="1:10" ht="76.5" outlineLevel="4">
      <c r="A1672" s="472" t="s">
        <v>1042</v>
      </c>
      <c r="B1672" s="473" t="s">
        <v>2372</v>
      </c>
      <c r="C1672" s="474" t="s">
        <v>2339</v>
      </c>
      <c r="D1672" s="473" t="s">
        <v>2340</v>
      </c>
      <c r="E1672" s="475">
        <v>79</v>
      </c>
      <c r="F1672" s="475">
        <v>79</v>
      </c>
      <c r="G1672" s="475">
        <v>5</v>
      </c>
      <c r="H1672" s="475">
        <v>5</v>
      </c>
      <c r="I1672" s="471">
        <v>6.33</v>
      </c>
      <c r="J1672" s="471"/>
    </row>
    <row r="1673" spans="1:10" ht="51" outlineLevel="3">
      <c r="A1673" s="467" t="s">
        <v>876</v>
      </c>
      <c r="B1673" s="468" t="s">
        <v>2373</v>
      </c>
      <c r="C1673" s="469"/>
      <c r="D1673" s="468"/>
      <c r="E1673" s="470">
        <v>270</v>
      </c>
      <c r="F1673" s="470">
        <v>270</v>
      </c>
      <c r="G1673" s="470">
        <v>118</v>
      </c>
      <c r="H1673" s="470">
        <v>118</v>
      </c>
      <c r="I1673" s="471">
        <v>43.7</v>
      </c>
      <c r="J1673" s="471"/>
    </row>
    <row r="1674" spans="1:10" ht="51" outlineLevel="4">
      <c r="A1674" s="472" t="s">
        <v>876</v>
      </c>
      <c r="B1674" s="473" t="s">
        <v>2373</v>
      </c>
      <c r="C1674" s="474" t="s">
        <v>2339</v>
      </c>
      <c r="D1674" s="473" t="s">
        <v>2340</v>
      </c>
      <c r="E1674" s="475">
        <v>145</v>
      </c>
      <c r="F1674" s="475">
        <v>145</v>
      </c>
      <c r="G1674" s="475">
        <v>72</v>
      </c>
      <c r="H1674" s="475">
        <v>72</v>
      </c>
      <c r="I1674" s="471">
        <v>49.66</v>
      </c>
      <c r="J1674" s="471"/>
    </row>
    <row r="1675" spans="1:10" ht="51" outlineLevel="4">
      <c r="A1675" s="472" t="s">
        <v>876</v>
      </c>
      <c r="B1675" s="473" t="s">
        <v>2373</v>
      </c>
      <c r="C1675" s="474" t="s">
        <v>667</v>
      </c>
      <c r="D1675" s="473" t="s">
        <v>732</v>
      </c>
      <c r="E1675" s="475">
        <v>125</v>
      </c>
      <c r="F1675" s="475">
        <v>125</v>
      </c>
      <c r="G1675" s="475">
        <v>46</v>
      </c>
      <c r="H1675" s="475">
        <v>46</v>
      </c>
      <c r="I1675" s="471">
        <v>36.799999999999997</v>
      </c>
      <c r="J1675" s="471"/>
    </row>
    <row r="1676" spans="1:10" ht="89.25" outlineLevel="2">
      <c r="A1676" s="462" t="s">
        <v>2374</v>
      </c>
      <c r="B1676" s="463" t="s">
        <v>2375</v>
      </c>
      <c r="C1676" s="464"/>
      <c r="D1676" s="463"/>
      <c r="E1676" s="465">
        <v>39579.819990000004</v>
      </c>
      <c r="F1676" s="465">
        <v>27891.295989999999</v>
      </c>
      <c r="G1676" s="465">
        <v>8811.2485099999994</v>
      </c>
      <c r="H1676" s="465">
        <v>8806.2485099999994</v>
      </c>
      <c r="I1676" s="466">
        <v>22.25</v>
      </c>
      <c r="J1676" s="466"/>
    </row>
    <row r="1677" spans="1:10" ht="76.5" outlineLevel="3">
      <c r="A1677" s="467" t="s">
        <v>717</v>
      </c>
      <c r="B1677" s="468" t="s">
        <v>2376</v>
      </c>
      <c r="C1677" s="469"/>
      <c r="D1677" s="468"/>
      <c r="E1677" s="470">
        <v>22493.119989999999</v>
      </c>
      <c r="F1677" s="470">
        <v>16205.295990000001</v>
      </c>
      <c r="G1677" s="470">
        <v>5281.2485100000004</v>
      </c>
      <c r="H1677" s="470">
        <v>5281.2485100000004</v>
      </c>
      <c r="I1677" s="471">
        <v>23.48</v>
      </c>
      <c r="J1677" s="471"/>
    </row>
    <row r="1678" spans="1:10" ht="76.5" outlineLevel="4">
      <c r="A1678" s="472" t="s">
        <v>717</v>
      </c>
      <c r="B1678" s="473" t="s">
        <v>2376</v>
      </c>
      <c r="C1678" s="474" t="s">
        <v>2275</v>
      </c>
      <c r="D1678" s="473" t="s">
        <v>2276</v>
      </c>
      <c r="E1678" s="475">
        <v>249.8</v>
      </c>
      <c r="F1678" s="475">
        <v>249.8</v>
      </c>
      <c r="G1678" s="475">
        <v>249.8</v>
      </c>
      <c r="H1678" s="475">
        <v>249.8</v>
      </c>
      <c r="I1678" s="471">
        <v>100</v>
      </c>
      <c r="J1678" s="471"/>
    </row>
    <row r="1679" spans="1:10" ht="76.5" outlineLevel="4">
      <c r="A1679" s="472" t="s">
        <v>717</v>
      </c>
      <c r="B1679" s="473" t="s">
        <v>2376</v>
      </c>
      <c r="C1679" s="474" t="s">
        <v>726</v>
      </c>
      <c r="D1679" s="473" t="s">
        <v>727</v>
      </c>
      <c r="E1679" s="475">
        <v>130.86000000000001</v>
      </c>
      <c r="F1679" s="475">
        <v>130.86000000000001</v>
      </c>
      <c r="G1679" s="475">
        <v>24.448509999999999</v>
      </c>
      <c r="H1679" s="475">
        <v>24.448509999999999</v>
      </c>
      <c r="I1679" s="471">
        <v>18.68</v>
      </c>
      <c r="J1679" s="471"/>
    </row>
    <row r="1680" spans="1:10" ht="76.5" outlineLevel="4">
      <c r="A1680" s="472" t="s">
        <v>717</v>
      </c>
      <c r="B1680" s="473" t="s">
        <v>2376</v>
      </c>
      <c r="C1680" s="474" t="s">
        <v>667</v>
      </c>
      <c r="D1680" s="473" t="s">
        <v>732</v>
      </c>
      <c r="E1680" s="475">
        <v>22112.459989999999</v>
      </c>
      <c r="F1680" s="475">
        <v>15824.635990000001</v>
      </c>
      <c r="G1680" s="475">
        <v>5007</v>
      </c>
      <c r="H1680" s="475">
        <v>5007</v>
      </c>
      <c r="I1680" s="471">
        <v>22.64</v>
      </c>
      <c r="J1680" s="471"/>
    </row>
    <row r="1681" spans="1:10" ht="25.5" outlineLevel="3">
      <c r="A1681" s="467" t="s">
        <v>728</v>
      </c>
      <c r="B1681" s="468" t="s">
        <v>2377</v>
      </c>
      <c r="C1681" s="469"/>
      <c r="D1681" s="468"/>
      <c r="E1681" s="470">
        <v>2686</v>
      </c>
      <c r="F1681" s="470">
        <v>2686</v>
      </c>
      <c r="G1681" s="470">
        <v>2530</v>
      </c>
      <c r="H1681" s="470">
        <v>2525</v>
      </c>
      <c r="I1681" s="471">
        <v>94.01</v>
      </c>
      <c r="J1681" s="471"/>
    </row>
    <row r="1682" spans="1:10" ht="25.5" outlineLevel="4">
      <c r="A1682" s="472" t="s">
        <v>728</v>
      </c>
      <c r="B1682" s="473" t="s">
        <v>2377</v>
      </c>
      <c r="C1682" s="474" t="s">
        <v>2339</v>
      </c>
      <c r="D1682" s="473" t="s">
        <v>2340</v>
      </c>
      <c r="E1682" s="475">
        <v>2686</v>
      </c>
      <c r="F1682" s="475">
        <v>2686</v>
      </c>
      <c r="G1682" s="475">
        <v>2530</v>
      </c>
      <c r="H1682" s="475">
        <v>2525</v>
      </c>
      <c r="I1682" s="471">
        <v>94.01</v>
      </c>
      <c r="J1682" s="471"/>
    </row>
    <row r="1683" spans="1:10" ht="25.5" outlineLevel="3">
      <c r="A1683" s="467" t="s">
        <v>721</v>
      </c>
      <c r="B1683" s="468" t="s">
        <v>2378</v>
      </c>
      <c r="C1683" s="469"/>
      <c r="D1683" s="468"/>
      <c r="E1683" s="470">
        <v>13067.02981</v>
      </c>
      <c r="F1683" s="470">
        <v>9000</v>
      </c>
      <c r="G1683" s="470">
        <v>1000</v>
      </c>
      <c r="H1683" s="470">
        <v>1000</v>
      </c>
      <c r="I1683" s="471">
        <v>7.65</v>
      </c>
      <c r="J1683" s="471"/>
    </row>
    <row r="1684" spans="1:10" ht="25.5" outlineLevel="4">
      <c r="A1684" s="472" t="s">
        <v>721</v>
      </c>
      <c r="B1684" s="473" t="s">
        <v>2378</v>
      </c>
      <c r="C1684" s="474" t="s">
        <v>2339</v>
      </c>
      <c r="D1684" s="473" t="s">
        <v>2340</v>
      </c>
      <c r="E1684" s="475">
        <v>13067.02981</v>
      </c>
      <c r="F1684" s="475">
        <v>9000</v>
      </c>
      <c r="G1684" s="475">
        <v>1000</v>
      </c>
      <c r="H1684" s="475">
        <v>1000</v>
      </c>
      <c r="I1684" s="471">
        <v>7.65</v>
      </c>
      <c r="J1684" s="471"/>
    </row>
    <row r="1685" spans="1:10" ht="38.25" outlineLevel="3">
      <c r="A1685" s="467" t="s">
        <v>2364</v>
      </c>
      <c r="B1685" s="468" t="s">
        <v>2379</v>
      </c>
      <c r="C1685" s="469"/>
      <c r="D1685" s="468"/>
      <c r="E1685" s="470">
        <v>1333.67019</v>
      </c>
      <c r="F1685" s="470">
        <v>0</v>
      </c>
      <c r="G1685" s="470">
        <v>0</v>
      </c>
      <c r="H1685" s="470">
        <v>0</v>
      </c>
      <c r="I1685" s="471">
        <v>0</v>
      </c>
      <c r="J1685" s="471"/>
    </row>
    <row r="1686" spans="1:10" ht="38.25" outlineLevel="4">
      <c r="A1686" s="472" t="s">
        <v>2364</v>
      </c>
      <c r="B1686" s="473" t="s">
        <v>2379</v>
      </c>
      <c r="C1686" s="474" t="s">
        <v>2339</v>
      </c>
      <c r="D1686" s="473" t="s">
        <v>2340</v>
      </c>
      <c r="E1686" s="475">
        <v>1333.67019</v>
      </c>
      <c r="F1686" s="475">
        <v>0</v>
      </c>
      <c r="G1686" s="475">
        <v>0</v>
      </c>
      <c r="H1686" s="475">
        <v>0</v>
      </c>
      <c r="I1686" s="471">
        <v>0</v>
      </c>
      <c r="J1686" s="471"/>
    </row>
    <row r="1687" spans="1:10" ht="51" outlineLevel="2">
      <c r="A1687" s="462" t="s">
        <v>2380</v>
      </c>
      <c r="B1687" s="463" t="s">
        <v>2381</v>
      </c>
      <c r="C1687" s="464"/>
      <c r="D1687" s="463"/>
      <c r="E1687" s="465">
        <v>37249.480000000003</v>
      </c>
      <c r="F1687" s="465">
        <v>35649.480000000003</v>
      </c>
      <c r="G1687" s="465">
        <v>104.4978</v>
      </c>
      <c r="H1687" s="465">
        <v>104.4978</v>
      </c>
      <c r="I1687" s="466">
        <v>0.28000000000000003</v>
      </c>
      <c r="J1687" s="466"/>
    </row>
    <row r="1688" spans="1:10" ht="38.25" outlineLevel="3">
      <c r="A1688" s="467" t="s">
        <v>2382</v>
      </c>
      <c r="B1688" s="468" t="s">
        <v>2383</v>
      </c>
      <c r="C1688" s="469"/>
      <c r="D1688" s="468"/>
      <c r="E1688" s="470">
        <v>4200</v>
      </c>
      <c r="F1688" s="470">
        <v>4200</v>
      </c>
      <c r="G1688" s="470">
        <v>0</v>
      </c>
      <c r="H1688" s="470">
        <v>0</v>
      </c>
      <c r="I1688" s="471">
        <v>0</v>
      </c>
      <c r="J1688" s="471"/>
    </row>
    <row r="1689" spans="1:10" ht="38.25" outlineLevel="4">
      <c r="A1689" s="472" t="s">
        <v>2382</v>
      </c>
      <c r="B1689" s="473" t="s">
        <v>2383</v>
      </c>
      <c r="C1689" s="474" t="s">
        <v>667</v>
      </c>
      <c r="D1689" s="473" t="s">
        <v>732</v>
      </c>
      <c r="E1689" s="475">
        <v>4200</v>
      </c>
      <c r="F1689" s="475">
        <v>4200</v>
      </c>
      <c r="G1689" s="475">
        <v>0</v>
      </c>
      <c r="H1689" s="475">
        <v>0</v>
      </c>
      <c r="I1689" s="471">
        <v>0</v>
      </c>
      <c r="J1689" s="471"/>
    </row>
    <row r="1690" spans="1:10" ht="25.5" outlineLevel="3">
      <c r="A1690" s="467" t="s">
        <v>728</v>
      </c>
      <c r="B1690" s="468" t="s">
        <v>2384</v>
      </c>
      <c r="C1690" s="469"/>
      <c r="D1690" s="468"/>
      <c r="E1690" s="470">
        <v>31449.48</v>
      </c>
      <c r="F1690" s="470">
        <v>31449.48</v>
      </c>
      <c r="G1690" s="470">
        <v>104.4978</v>
      </c>
      <c r="H1690" s="470">
        <v>104.4978</v>
      </c>
      <c r="I1690" s="471">
        <v>0.33</v>
      </c>
      <c r="J1690" s="471"/>
    </row>
    <row r="1691" spans="1:10" ht="25.5" outlineLevel="4">
      <c r="A1691" s="472" t="s">
        <v>728</v>
      </c>
      <c r="B1691" s="473" t="s">
        <v>2384</v>
      </c>
      <c r="C1691" s="474" t="s">
        <v>667</v>
      </c>
      <c r="D1691" s="473" t="s">
        <v>732</v>
      </c>
      <c r="E1691" s="475">
        <v>31449.48</v>
      </c>
      <c r="F1691" s="475">
        <v>31449.48</v>
      </c>
      <c r="G1691" s="475">
        <v>104.4978</v>
      </c>
      <c r="H1691" s="475">
        <v>104.4978</v>
      </c>
      <c r="I1691" s="471">
        <v>0.33</v>
      </c>
      <c r="J1691" s="471"/>
    </row>
    <row r="1692" spans="1:10" ht="25.5" outlineLevel="3">
      <c r="A1692" s="467" t="s">
        <v>721</v>
      </c>
      <c r="B1692" s="468" t="s">
        <v>2385</v>
      </c>
      <c r="C1692" s="469"/>
      <c r="D1692" s="468"/>
      <c r="E1692" s="470">
        <v>1600</v>
      </c>
      <c r="F1692" s="470">
        <v>0</v>
      </c>
      <c r="G1692" s="470">
        <v>0</v>
      </c>
      <c r="H1692" s="470">
        <v>0</v>
      </c>
      <c r="I1692" s="471">
        <v>0</v>
      </c>
      <c r="J1692" s="471"/>
    </row>
    <row r="1693" spans="1:10" ht="25.5" outlineLevel="4">
      <c r="A1693" s="472" t="s">
        <v>721</v>
      </c>
      <c r="B1693" s="473" t="s">
        <v>2385</v>
      </c>
      <c r="C1693" s="474" t="s">
        <v>667</v>
      </c>
      <c r="D1693" s="473" t="s">
        <v>732</v>
      </c>
      <c r="E1693" s="475">
        <v>1600</v>
      </c>
      <c r="F1693" s="475">
        <v>0</v>
      </c>
      <c r="G1693" s="475">
        <v>0</v>
      </c>
      <c r="H1693" s="475">
        <v>0</v>
      </c>
      <c r="I1693" s="471">
        <v>0</v>
      </c>
      <c r="J1693" s="471"/>
    </row>
    <row r="1694" spans="1:10" ht="25.5" outlineLevel="2">
      <c r="A1694" s="462" t="s">
        <v>2386</v>
      </c>
      <c r="B1694" s="463" t="s">
        <v>2387</v>
      </c>
      <c r="C1694" s="464"/>
      <c r="D1694" s="463"/>
      <c r="E1694" s="465">
        <v>3381.48936</v>
      </c>
      <c r="F1694" s="465">
        <v>3381.48936</v>
      </c>
      <c r="G1694" s="465">
        <v>495</v>
      </c>
      <c r="H1694" s="465">
        <v>200</v>
      </c>
      <c r="I1694" s="466">
        <v>5.91</v>
      </c>
      <c r="J1694" s="466"/>
    </row>
    <row r="1695" spans="1:10" ht="25.5" outlineLevel="3">
      <c r="A1695" s="467" t="s">
        <v>728</v>
      </c>
      <c r="B1695" s="468" t="s">
        <v>2388</v>
      </c>
      <c r="C1695" s="469"/>
      <c r="D1695" s="468"/>
      <c r="E1695" s="470">
        <v>1400</v>
      </c>
      <c r="F1695" s="470">
        <v>1400</v>
      </c>
      <c r="G1695" s="470">
        <v>495</v>
      </c>
      <c r="H1695" s="470">
        <v>200</v>
      </c>
      <c r="I1695" s="471">
        <v>14.29</v>
      </c>
      <c r="J1695" s="471"/>
    </row>
    <row r="1696" spans="1:10" ht="25.5" outlineLevel="4">
      <c r="A1696" s="472" t="s">
        <v>728</v>
      </c>
      <c r="B1696" s="473" t="s">
        <v>2388</v>
      </c>
      <c r="C1696" s="474" t="s">
        <v>667</v>
      </c>
      <c r="D1696" s="473" t="s">
        <v>732</v>
      </c>
      <c r="E1696" s="475">
        <v>1400</v>
      </c>
      <c r="F1696" s="475">
        <v>1400</v>
      </c>
      <c r="G1696" s="475">
        <v>495</v>
      </c>
      <c r="H1696" s="475">
        <v>200</v>
      </c>
      <c r="I1696" s="471">
        <v>14.29</v>
      </c>
      <c r="J1696" s="471"/>
    </row>
    <row r="1697" spans="1:10" ht="38.25" outlineLevel="3">
      <c r="A1697" s="467" t="s">
        <v>2389</v>
      </c>
      <c r="B1697" s="468" t="s">
        <v>2390</v>
      </c>
      <c r="C1697" s="469"/>
      <c r="D1697" s="468"/>
      <c r="E1697" s="470">
        <v>1981.48936</v>
      </c>
      <c r="F1697" s="470">
        <v>1981.48936</v>
      </c>
      <c r="G1697" s="470">
        <v>0</v>
      </c>
      <c r="H1697" s="470">
        <v>0</v>
      </c>
      <c r="I1697" s="471">
        <v>0</v>
      </c>
      <c r="J1697" s="471"/>
    </row>
    <row r="1698" spans="1:10" ht="38.25" outlineLevel="4">
      <c r="A1698" s="472" t="s">
        <v>2389</v>
      </c>
      <c r="B1698" s="473" t="s">
        <v>2390</v>
      </c>
      <c r="C1698" s="474" t="s">
        <v>667</v>
      </c>
      <c r="D1698" s="473" t="s">
        <v>732</v>
      </c>
      <c r="E1698" s="475">
        <v>1981.48936</v>
      </c>
      <c r="F1698" s="475">
        <v>1981.48936</v>
      </c>
      <c r="G1698" s="475">
        <v>0</v>
      </c>
      <c r="H1698" s="475">
        <v>0</v>
      </c>
      <c r="I1698" s="471">
        <v>0</v>
      </c>
      <c r="J1698" s="476" t="s">
        <v>10</v>
      </c>
    </row>
    <row r="1699" spans="1:10" ht="38.25" outlineLevel="1">
      <c r="A1699" s="457" t="s">
        <v>2391</v>
      </c>
      <c r="B1699" s="458" t="s">
        <v>2392</v>
      </c>
      <c r="C1699" s="459"/>
      <c r="D1699" s="458"/>
      <c r="E1699" s="460">
        <v>289417.29488</v>
      </c>
      <c r="F1699" s="460">
        <v>289417.29488</v>
      </c>
      <c r="G1699" s="460">
        <v>140459.73282999999</v>
      </c>
      <c r="H1699" s="460">
        <v>125021.02196</v>
      </c>
      <c r="I1699" s="461">
        <v>43.2</v>
      </c>
      <c r="J1699" s="461"/>
    </row>
    <row r="1700" spans="1:10" ht="51" outlineLevel="2">
      <c r="A1700" s="462" t="s">
        <v>2393</v>
      </c>
      <c r="B1700" s="463" t="s">
        <v>2394</v>
      </c>
      <c r="C1700" s="464"/>
      <c r="D1700" s="463"/>
      <c r="E1700" s="465">
        <v>2070</v>
      </c>
      <c r="F1700" s="465">
        <v>2070</v>
      </c>
      <c r="G1700" s="465">
        <v>605.38</v>
      </c>
      <c r="H1700" s="465">
        <v>565.49940000000004</v>
      </c>
      <c r="I1700" s="466">
        <v>27.32</v>
      </c>
      <c r="J1700" s="466"/>
    </row>
    <row r="1701" spans="1:10" ht="76.5" outlineLevel="3">
      <c r="A1701" s="467" t="s">
        <v>1042</v>
      </c>
      <c r="B1701" s="468" t="s">
        <v>2395</v>
      </c>
      <c r="C1701" s="469"/>
      <c r="D1701" s="468"/>
      <c r="E1701" s="470">
        <v>2070</v>
      </c>
      <c r="F1701" s="470">
        <v>2070</v>
      </c>
      <c r="G1701" s="470">
        <v>605.38</v>
      </c>
      <c r="H1701" s="470">
        <v>565.49940000000004</v>
      </c>
      <c r="I1701" s="471">
        <v>27.32</v>
      </c>
      <c r="J1701" s="471"/>
    </row>
    <row r="1702" spans="1:10" ht="76.5" outlineLevel="4">
      <c r="A1702" s="472" t="s">
        <v>1042</v>
      </c>
      <c r="B1702" s="473" t="s">
        <v>2395</v>
      </c>
      <c r="C1702" s="474" t="s">
        <v>2139</v>
      </c>
      <c r="D1702" s="473" t="s">
        <v>2140</v>
      </c>
      <c r="E1702" s="475">
        <v>2070</v>
      </c>
      <c r="F1702" s="475">
        <v>2070</v>
      </c>
      <c r="G1702" s="475">
        <v>605.38</v>
      </c>
      <c r="H1702" s="475">
        <v>565.49940000000004</v>
      </c>
      <c r="I1702" s="471">
        <v>27.32</v>
      </c>
      <c r="J1702" s="471"/>
    </row>
    <row r="1703" spans="1:10" ht="63.75" outlineLevel="2">
      <c r="A1703" s="462" t="s">
        <v>2396</v>
      </c>
      <c r="B1703" s="463" t="s">
        <v>2397</v>
      </c>
      <c r="C1703" s="464"/>
      <c r="D1703" s="463"/>
      <c r="E1703" s="465">
        <v>287347.29488</v>
      </c>
      <c r="F1703" s="465">
        <v>287347.29488</v>
      </c>
      <c r="G1703" s="465">
        <v>139854.35282999999</v>
      </c>
      <c r="H1703" s="465">
        <v>124455.52256</v>
      </c>
      <c r="I1703" s="466">
        <v>43.31</v>
      </c>
      <c r="J1703" s="466"/>
    </row>
    <row r="1704" spans="1:10" ht="25.5" outlineLevel="3">
      <c r="A1704" s="467" t="s">
        <v>888</v>
      </c>
      <c r="B1704" s="468" t="s">
        <v>2398</v>
      </c>
      <c r="C1704" s="469"/>
      <c r="D1704" s="468"/>
      <c r="E1704" s="470">
        <v>152329.67916999999</v>
      </c>
      <c r="F1704" s="470">
        <v>152329.67916999999</v>
      </c>
      <c r="G1704" s="470">
        <v>65500</v>
      </c>
      <c r="H1704" s="470">
        <v>61737.633240000003</v>
      </c>
      <c r="I1704" s="471">
        <v>40.53</v>
      </c>
      <c r="J1704" s="471"/>
    </row>
    <row r="1705" spans="1:10" ht="25.5" outlineLevel="4">
      <c r="A1705" s="472" t="s">
        <v>888</v>
      </c>
      <c r="B1705" s="473" t="s">
        <v>2398</v>
      </c>
      <c r="C1705" s="474" t="s">
        <v>2139</v>
      </c>
      <c r="D1705" s="473" t="s">
        <v>2140</v>
      </c>
      <c r="E1705" s="475">
        <v>152329.67916999999</v>
      </c>
      <c r="F1705" s="475">
        <v>152329.67916999999</v>
      </c>
      <c r="G1705" s="475">
        <v>65500</v>
      </c>
      <c r="H1705" s="475">
        <v>61737.633240000003</v>
      </c>
      <c r="I1705" s="471">
        <v>40.53</v>
      </c>
      <c r="J1705" s="471"/>
    </row>
    <row r="1706" spans="1:10" ht="38.25" outlineLevel="3">
      <c r="A1706" s="467" t="s">
        <v>869</v>
      </c>
      <c r="B1706" s="468" t="s">
        <v>2399</v>
      </c>
      <c r="C1706" s="469"/>
      <c r="D1706" s="468"/>
      <c r="E1706" s="470">
        <v>20.55</v>
      </c>
      <c r="F1706" s="470">
        <v>20.55</v>
      </c>
      <c r="G1706" s="470">
        <v>8</v>
      </c>
      <c r="H1706" s="470">
        <v>6.81541</v>
      </c>
      <c r="I1706" s="471">
        <v>33.17</v>
      </c>
      <c r="J1706" s="471"/>
    </row>
    <row r="1707" spans="1:10" ht="38.25" outlineLevel="4">
      <c r="A1707" s="472" t="s">
        <v>869</v>
      </c>
      <c r="B1707" s="473" t="s">
        <v>2399</v>
      </c>
      <c r="C1707" s="474" t="s">
        <v>2139</v>
      </c>
      <c r="D1707" s="473" t="s">
        <v>2140</v>
      </c>
      <c r="E1707" s="475">
        <v>20.55</v>
      </c>
      <c r="F1707" s="475">
        <v>20.55</v>
      </c>
      <c r="G1707" s="475">
        <v>8</v>
      </c>
      <c r="H1707" s="475">
        <v>6.81541</v>
      </c>
      <c r="I1707" s="471">
        <v>33.17</v>
      </c>
      <c r="J1707" s="471"/>
    </row>
    <row r="1708" spans="1:10" ht="76.5" outlineLevel="3">
      <c r="A1708" s="467" t="s">
        <v>717</v>
      </c>
      <c r="B1708" s="468" t="s">
        <v>2400</v>
      </c>
      <c r="C1708" s="469"/>
      <c r="D1708" s="468"/>
      <c r="E1708" s="470">
        <v>131887.80270999999</v>
      </c>
      <c r="F1708" s="470">
        <v>131887.80270999999</v>
      </c>
      <c r="G1708" s="470">
        <v>72887.009160000001</v>
      </c>
      <c r="H1708" s="470">
        <v>61712.226739999998</v>
      </c>
      <c r="I1708" s="471">
        <v>46.79</v>
      </c>
      <c r="J1708" s="471"/>
    </row>
    <row r="1709" spans="1:10" ht="76.5" outlineLevel="4">
      <c r="A1709" s="472" t="s">
        <v>717</v>
      </c>
      <c r="B1709" s="473" t="s">
        <v>2400</v>
      </c>
      <c r="C1709" s="474" t="s">
        <v>2139</v>
      </c>
      <c r="D1709" s="473" t="s">
        <v>2140</v>
      </c>
      <c r="E1709" s="475">
        <v>131887.80270999999</v>
      </c>
      <c r="F1709" s="475">
        <v>131887.80270999999</v>
      </c>
      <c r="G1709" s="475">
        <v>72887.009160000001</v>
      </c>
      <c r="H1709" s="475">
        <v>61712.226739999998</v>
      </c>
      <c r="I1709" s="471">
        <v>46.79</v>
      </c>
      <c r="J1709" s="471"/>
    </row>
    <row r="1710" spans="1:10" ht="63.75" outlineLevel="3">
      <c r="A1710" s="467" t="s">
        <v>62</v>
      </c>
      <c r="B1710" s="468" t="s">
        <v>2401</v>
      </c>
      <c r="C1710" s="469"/>
      <c r="D1710" s="468"/>
      <c r="E1710" s="470">
        <v>2074.2629999999999</v>
      </c>
      <c r="F1710" s="470">
        <v>2074.2629999999999</v>
      </c>
      <c r="G1710" s="470">
        <v>612.23366999999996</v>
      </c>
      <c r="H1710" s="470">
        <v>151.73716999999999</v>
      </c>
      <c r="I1710" s="471">
        <v>7.32</v>
      </c>
      <c r="J1710" s="471"/>
    </row>
    <row r="1711" spans="1:10" ht="63.75" outlineLevel="4">
      <c r="A1711" s="472" t="s">
        <v>62</v>
      </c>
      <c r="B1711" s="473" t="s">
        <v>2401</v>
      </c>
      <c r="C1711" s="474" t="s">
        <v>2139</v>
      </c>
      <c r="D1711" s="473" t="s">
        <v>2140</v>
      </c>
      <c r="E1711" s="475">
        <v>2074.2629999999999</v>
      </c>
      <c r="F1711" s="475">
        <v>2074.2629999999999</v>
      </c>
      <c r="G1711" s="475">
        <v>612.23366999999996</v>
      </c>
      <c r="H1711" s="475">
        <v>151.73716999999999</v>
      </c>
      <c r="I1711" s="471">
        <v>7.32</v>
      </c>
      <c r="J1711" s="471"/>
    </row>
    <row r="1712" spans="1:10" ht="25.5" outlineLevel="3">
      <c r="A1712" s="467" t="s">
        <v>728</v>
      </c>
      <c r="B1712" s="468" t="s">
        <v>2402</v>
      </c>
      <c r="C1712" s="469"/>
      <c r="D1712" s="468"/>
      <c r="E1712" s="470">
        <v>1035</v>
      </c>
      <c r="F1712" s="470">
        <v>1035</v>
      </c>
      <c r="G1712" s="470">
        <v>847.11</v>
      </c>
      <c r="H1712" s="470">
        <v>847.11</v>
      </c>
      <c r="I1712" s="471">
        <v>81.849999999999994</v>
      </c>
      <c r="J1712" s="471"/>
    </row>
    <row r="1713" spans="1:10" ht="25.5" outlineLevel="4">
      <c r="A1713" s="472" t="s">
        <v>728</v>
      </c>
      <c r="B1713" s="473" t="s">
        <v>2402</v>
      </c>
      <c r="C1713" s="474" t="s">
        <v>2139</v>
      </c>
      <c r="D1713" s="473" t="s">
        <v>2140</v>
      </c>
      <c r="E1713" s="475">
        <v>1035</v>
      </c>
      <c r="F1713" s="475">
        <v>1035</v>
      </c>
      <c r="G1713" s="475">
        <v>847.11</v>
      </c>
      <c r="H1713" s="475">
        <v>847.11</v>
      </c>
      <c r="I1713" s="471">
        <v>81.849999999999994</v>
      </c>
      <c r="J1713" s="471"/>
    </row>
    <row r="1714" spans="1:10" ht="60.75" collapsed="1" thickBot="1">
      <c r="A1714" s="452" t="s">
        <v>2403</v>
      </c>
      <c r="B1714" s="453" t="s">
        <v>2404</v>
      </c>
      <c r="C1714" s="454"/>
      <c r="D1714" s="453"/>
      <c r="E1714" s="455">
        <v>1727500.85</v>
      </c>
      <c r="F1714" s="455">
        <v>1727500.85</v>
      </c>
      <c r="G1714" s="455">
        <v>200384.00993999999</v>
      </c>
      <c r="H1714" s="455">
        <v>200384.00993999999</v>
      </c>
      <c r="I1714" s="456">
        <v>11.6</v>
      </c>
      <c r="J1714" s="456"/>
    </row>
    <row r="1715" spans="1:10" ht="25.5" outlineLevel="1">
      <c r="A1715" s="457" t="s">
        <v>2405</v>
      </c>
      <c r="B1715" s="458" t="s">
        <v>2406</v>
      </c>
      <c r="C1715" s="459"/>
      <c r="D1715" s="458"/>
      <c r="E1715" s="460">
        <v>1727500.85</v>
      </c>
      <c r="F1715" s="460">
        <v>1727500.85</v>
      </c>
      <c r="G1715" s="460">
        <v>200384.00993999999</v>
      </c>
      <c r="H1715" s="460">
        <v>200384.00993999999</v>
      </c>
      <c r="I1715" s="461">
        <v>11.6</v>
      </c>
      <c r="J1715" s="461"/>
    </row>
    <row r="1716" spans="1:10" ht="63.75" outlineLevel="2">
      <c r="A1716" s="462" t="s">
        <v>2407</v>
      </c>
      <c r="B1716" s="463" t="s">
        <v>2408</v>
      </c>
      <c r="C1716" s="464"/>
      <c r="D1716" s="463"/>
      <c r="E1716" s="465">
        <v>593485.73176999995</v>
      </c>
      <c r="F1716" s="465">
        <v>593485.73176999995</v>
      </c>
      <c r="G1716" s="465">
        <v>198000</v>
      </c>
      <c r="H1716" s="465">
        <v>198000</v>
      </c>
      <c r="I1716" s="466">
        <v>33.36</v>
      </c>
      <c r="J1716" s="466"/>
    </row>
    <row r="1717" spans="1:10" ht="38.25" outlineLevel="3">
      <c r="A1717" s="467" t="s">
        <v>2409</v>
      </c>
      <c r="B1717" s="468" t="s">
        <v>2410</v>
      </c>
      <c r="C1717" s="469"/>
      <c r="D1717" s="468"/>
      <c r="E1717" s="470">
        <v>593485.73176999995</v>
      </c>
      <c r="F1717" s="470">
        <v>593485.73176999995</v>
      </c>
      <c r="G1717" s="470">
        <v>198000</v>
      </c>
      <c r="H1717" s="470">
        <v>198000</v>
      </c>
      <c r="I1717" s="471">
        <v>33.36</v>
      </c>
      <c r="J1717" s="471"/>
    </row>
    <row r="1718" spans="1:10" ht="38.25" outlineLevel="4">
      <c r="A1718" s="472" t="s">
        <v>2409</v>
      </c>
      <c r="B1718" s="473" t="s">
        <v>2410</v>
      </c>
      <c r="C1718" s="474" t="s">
        <v>1517</v>
      </c>
      <c r="D1718" s="473" t="s">
        <v>1518</v>
      </c>
      <c r="E1718" s="475">
        <v>593485.73176999995</v>
      </c>
      <c r="F1718" s="475">
        <v>593485.73176999995</v>
      </c>
      <c r="G1718" s="475">
        <v>198000</v>
      </c>
      <c r="H1718" s="475">
        <v>198000</v>
      </c>
      <c r="I1718" s="471">
        <v>33.36</v>
      </c>
      <c r="J1718" s="471"/>
    </row>
    <row r="1719" spans="1:10" ht="51" outlineLevel="2">
      <c r="A1719" s="462" t="s">
        <v>2411</v>
      </c>
      <c r="B1719" s="463" t="s">
        <v>2412</v>
      </c>
      <c r="C1719" s="464"/>
      <c r="D1719" s="463"/>
      <c r="E1719" s="465">
        <v>32627.748230000001</v>
      </c>
      <c r="F1719" s="465">
        <v>32627.748230000001</v>
      </c>
      <c r="G1719" s="465">
        <v>50.997</v>
      </c>
      <c r="H1719" s="465">
        <v>50.997</v>
      </c>
      <c r="I1719" s="466">
        <v>0.16</v>
      </c>
      <c r="J1719" s="466"/>
    </row>
    <row r="1720" spans="1:10" ht="38.25" outlineLevel="3">
      <c r="A1720" s="467" t="s">
        <v>2413</v>
      </c>
      <c r="B1720" s="468" t="s">
        <v>2414</v>
      </c>
      <c r="C1720" s="469"/>
      <c r="D1720" s="468"/>
      <c r="E1720" s="470">
        <v>32627.748230000001</v>
      </c>
      <c r="F1720" s="470">
        <v>32627.748230000001</v>
      </c>
      <c r="G1720" s="470">
        <v>50.997</v>
      </c>
      <c r="H1720" s="470">
        <v>50.997</v>
      </c>
      <c r="I1720" s="471">
        <v>0.16</v>
      </c>
      <c r="J1720" s="471"/>
    </row>
    <row r="1721" spans="1:10" ht="38.25" outlineLevel="4">
      <c r="A1721" s="472" t="s">
        <v>2413</v>
      </c>
      <c r="B1721" s="473" t="s">
        <v>2414</v>
      </c>
      <c r="C1721" s="474" t="s">
        <v>1517</v>
      </c>
      <c r="D1721" s="473" t="s">
        <v>1518</v>
      </c>
      <c r="E1721" s="475">
        <v>32627.748230000001</v>
      </c>
      <c r="F1721" s="475">
        <v>32627.748230000001</v>
      </c>
      <c r="G1721" s="475">
        <v>50.997</v>
      </c>
      <c r="H1721" s="475">
        <v>50.997</v>
      </c>
      <c r="I1721" s="471">
        <v>0.16</v>
      </c>
      <c r="J1721" s="471"/>
    </row>
    <row r="1722" spans="1:10" ht="38.25" outlineLevel="2">
      <c r="A1722" s="462" t="s">
        <v>2415</v>
      </c>
      <c r="B1722" s="463" t="s">
        <v>2416</v>
      </c>
      <c r="C1722" s="464"/>
      <c r="D1722" s="463"/>
      <c r="E1722" s="465">
        <v>74057.324219999995</v>
      </c>
      <c r="F1722" s="465">
        <v>74057.324219999995</v>
      </c>
      <c r="G1722" s="465">
        <v>0</v>
      </c>
      <c r="H1722" s="465">
        <v>0</v>
      </c>
      <c r="I1722" s="466">
        <v>0</v>
      </c>
      <c r="J1722" s="466"/>
    </row>
    <row r="1723" spans="1:10" ht="76.5" outlineLevel="3">
      <c r="A1723" s="467" t="s">
        <v>2417</v>
      </c>
      <c r="B1723" s="468" t="s">
        <v>2418</v>
      </c>
      <c r="C1723" s="469"/>
      <c r="D1723" s="468"/>
      <c r="E1723" s="470">
        <v>74057.324219999995</v>
      </c>
      <c r="F1723" s="470">
        <v>74057.324219999995</v>
      </c>
      <c r="G1723" s="470">
        <v>0</v>
      </c>
      <c r="H1723" s="470">
        <v>0</v>
      </c>
      <c r="I1723" s="471">
        <v>0</v>
      </c>
      <c r="J1723" s="471"/>
    </row>
    <row r="1724" spans="1:10" ht="76.5" outlineLevel="4">
      <c r="A1724" s="472" t="s">
        <v>2417</v>
      </c>
      <c r="B1724" s="473" t="s">
        <v>2418</v>
      </c>
      <c r="C1724" s="474" t="s">
        <v>1517</v>
      </c>
      <c r="D1724" s="473" t="s">
        <v>1518</v>
      </c>
      <c r="E1724" s="475">
        <v>74057.324219999995</v>
      </c>
      <c r="F1724" s="475">
        <v>74057.324219999995</v>
      </c>
      <c r="G1724" s="475">
        <v>0</v>
      </c>
      <c r="H1724" s="475">
        <v>0</v>
      </c>
      <c r="I1724" s="471">
        <v>0</v>
      </c>
      <c r="J1724" s="471"/>
    </row>
    <row r="1725" spans="1:10" ht="25.5" outlineLevel="2">
      <c r="A1725" s="462" t="s">
        <v>2386</v>
      </c>
      <c r="B1725" s="463" t="s">
        <v>2419</v>
      </c>
      <c r="C1725" s="464"/>
      <c r="D1725" s="463"/>
      <c r="E1725" s="465">
        <v>3200.4</v>
      </c>
      <c r="F1725" s="465">
        <v>3200.4</v>
      </c>
      <c r="G1725" s="465">
        <v>0</v>
      </c>
      <c r="H1725" s="465">
        <v>0</v>
      </c>
      <c r="I1725" s="466">
        <v>0</v>
      </c>
      <c r="J1725" s="466"/>
    </row>
    <row r="1726" spans="1:10" ht="38.25" outlineLevel="3">
      <c r="A1726" s="467" t="s">
        <v>2389</v>
      </c>
      <c r="B1726" s="468" t="s">
        <v>2420</v>
      </c>
      <c r="C1726" s="469"/>
      <c r="D1726" s="468"/>
      <c r="E1726" s="470">
        <v>3200.4</v>
      </c>
      <c r="F1726" s="470">
        <v>3200.4</v>
      </c>
      <c r="G1726" s="470">
        <v>0</v>
      </c>
      <c r="H1726" s="470">
        <v>0</v>
      </c>
      <c r="I1726" s="471">
        <v>0</v>
      </c>
      <c r="J1726" s="471"/>
    </row>
    <row r="1727" spans="1:10" ht="38.25" outlineLevel="4">
      <c r="A1727" s="472" t="s">
        <v>2389</v>
      </c>
      <c r="B1727" s="473" t="s">
        <v>2420</v>
      </c>
      <c r="C1727" s="474" t="s">
        <v>1517</v>
      </c>
      <c r="D1727" s="473" t="s">
        <v>1518</v>
      </c>
      <c r="E1727" s="475">
        <v>3200.4</v>
      </c>
      <c r="F1727" s="475">
        <v>3200.4</v>
      </c>
      <c r="G1727" s="475">
        <v>0</v>
      </c>
      <c r="H1727" s="475">
        <v>0</v>
      </c>
      <c r="I1727" s="471">
        <v>0</v>
      </c>
      <c r="J1727" s="476" t="s">
        <v>10</v>
      </c>
    </row>
    <row r="1728" spans="1:10" ht="25.5" outlineLevel="2">
      <c r="A1728" s="462" t="s">
        <v>2421</v>
      </c>
      <c r="B1728" s="463" t="s">
        <v>2422</v>
      </c>
      <c r="C1728" s="464"/>
      <c r="D1728" s="463"/>
      <c r="E1728" s="465">
        <v>1024129.64578</v>
      </c>
      <c r="F1728" s="465">
        <v>1024129.64578</v>
      </c>
      <c r="G1728" s="465">
        <v>2333.0129400000001</v>
      </c>
      <c r="H1728" s="465">
        <v>2333.0129400000001</v>
      </c>
      <c r="I1728" s="466">
        <v>0.23</v>
      </c>
      <c r="J1728" s="466"/>
    </row>
    <row r="1729" spans="1:10" ht="63.75" outlineLevel="3">
      <c r="A1729" s="467" t="s">
        <v>2423</v>
      </c>
      <c r="B1729" s="468" t="s">
        <v>2424</v>
      </c>
      <c r="C1729" s="469"/>
      <c r="D1729" s="468"/>
      <c r="E1729" s="470">
        <v>334307.5</v>
      </c>
      <c r="F1729" s="470">
        <v>334307.5</v>
      </c>
      <c r="G1729" s="470">
        <v>0</v>
      </c>
      <c r="H1729" s="470">
        <v>0</v>
      </c>
      <c r="I1729" s="471">
        <v>0</v>
      </c>
      <c r="J1729" s="471"/>
    </row>
    <row r="1730" spans="1:10" ht="63.75" outlineLevel="4">
      <c r="A1730" s="472" t="s">
        <v>2423</v>
      </c>
      <c r="B1730" s="473" t="s">
        <v>2424</v>
      </c>
      <c r="C1730" s="474" t="s">
        <v>1517</v>
      </c>
      <c r="D1730" s="473" t="s">
        <v>1518</v>
      </c>
      <c r="E1730" s="475">
        <v>334307.5</v>
      </c>
      <c r="F1730" s="475">
        <v>334307.5</v>
      </c>
      <c r="G1730" s="475">
        <v>0</v>
      </c>
      <c r="H1730" s="475">
        <v>0</v>
      </c>
      <c r="I1730" s="471">
        <v>0</v>
      </c>
      <c r="J1730" s="476" t="s">
        <v>10</v>
      </c>
    </row>
    <row r="1731" spans="1:10" ht="51" outlineLevel="3">
      <c r="A1731" s="467" t="s">
        <v>2425</v>
      </c>
      <c r="B1731" s="468" t="s">
        <v>2426</v>
      </c>
      <c r="C1731" s="469"/>
      <c r="D1731" s="468"/>
      <c r="E1731" s="470">
        <v>255822.14577999999</v>
      </c>
      <c r="F1731" s="470">
        <v>255822.14577999999</v>
      </c>
      <c r="G1731" s="470">
        <v>0</v>
      </c>
      <c r="H1731" s="470">
        <v>0</v>
      </c>
      <c r="I1731" s="471">
        <v>0</v>
      </c>
      <c r="J1731" s="471"/>
    </row>
    <row r="1732" spans="1:10" ht="51" outlineLevel="4">
      <c r="A1732" s="472" t="s">
        <v>2425</v>
      </c>
      <c r="B1732" s="473" t="s">
        <v>2426</v>
      </c>
      <c r="C1732" s="474" t="s">
        <v>1517</v>
      </c>
      <c r="D1732" s="473" t="s">
        <v>1518</v>
      </c>
      <c r="E1732" s="475">
        <v>255822.14577999999</v>
      </c>
      <c r="F1732" s="475">
        <v>255822.14577999999</v>
      </c>
      <c r="G1732" s="475">
        <v>0</v>
      </c>
      <c r="H1732" s="475">
        <v>0</v>
      </c>
      <c r="I1732" s="471">
        <v>0</v>
      </c>
      <c r="J1732" s="476" t="s">
        <v>10</v>
      </c>
    </row>
    <row r="1733" spans="1:10" ht="63.75" outlineLevel="3">
      <c r="A1733" s="467" t="s">
        <v>2427</v>
      </c>
      <c r="B1733" s="468" t="s">
        <v>2428</v>
      </c>
      <c r="C1733" s="469"/>
      <c r="D1733" s="468"/>
      <c r="E1733" s="470">
        <v>434000</v>
      </c>
      <c r="F1733" s="470">
        <v>434000</v>
      </c>
      <c r="G1733" s="470">
        <v>2333.0129400000001</v>
      </c>
      <c r="H1733" s="470">
        <v>2333.0129400000001</v>
      </c>
      <c r="I1733" s="471">
        <v>0.54</v>
      </c>
      <c r="J1733" s="471"/>
    </row>
    <row r="1734" spans="1:10" ht="63.75" outlineLevel="4">
      <c r="A1734" s="472" t="s">
        <v>2427</v>
      </c>
      <c r="B1734" s="473" t="s">
        <v>2428</v>
      </c>
      <c r="C1734" s="474" t="s">
        <v>1517</v>
      </c>
      <c r="D1734" s="473" t="s">
        <v>1518</v>
      </c>
      <c r="E1734" s="475">
        <v>434000</v>
      </c>
      <c r="F1734" s="475">
        <v>434000</v>
      </c>
      <c r="G1734" s="475">
        <v>2333.0129400000001</v>
      </c>
      <c r="H1734" s="475">
        <v>2333.0129400000001</v>
      </c>
      <c r="I1734" s="471">
        <v>0.54</v>
      </c>
      <c r="J1734" s="471"/>
    </row>
    <row r="1735" spans="1:10" ht="15.75" collapsed="1" thickBot="1">
      <c r="A1735" s="452" t="s">
        <v>2429</v>
      </c>
      <c r="B1735" s="453" t="s">
        <v>2430</v>
      </c>
      <c r="C1735" s="454"/>
      <c r="D1735" s="453"/>
      <c r="E1735" s="455">
        <v>5646155.8480799999</v>
      </c>
      <c r="F1735" s="455">
        <v>3885975.5972000002</v>
      </c>
      <c r="G1735" s="455">
        <v>2027286.4741199999</v>
      </c>
      <c r="H1735" s="455">
        <v>1969019.3748399999</v>
      </c>
      <c r="I1735" s="456">
        <v>34.869999999999997</v>
      </c>
      <c r="J1735" s="456"/>
    </row>
    <row r="1736" spans="1:10" ht="25.5" outlineLevel="1">
      <c r="A1736" s="457" t="s">
        <v>2431</v>
      </c>
      <c r="B1736" s="458" t="s">
        <v>2432</v>
      </c>
      <c r="C1736" s="459"/>
      <c r="D1736" s="458"/>
      <c r="E1736" s="460">
        <v>306779.23300000001</v>
      </c>
      <c r="F1736" s="460">
        <v>306779.23300000001</v>
      </c>
      <c r="G1736" s="460">
        <v>143110.45451000001</v>
      </c>
      <c r="H1736" s="460">
        <v>133915.98336000001</v>
      </c>
      <c r="I1736" s="461">
        <v>43.65</v>
      </c>
      <c r="J1736" s="461"/>
    </row>
    <row r="1737" spans="1:10" ht="25.5" outlineLevel="2">
      <c r="A1737" s="462" t="s">
        <v>2431</v>
      </c>
      <c r="B1737" s="463" t="s">
        <v>2432</v>
      </c>
      <c r="C1737" s="464"/>
      <c r="D1737" s="463"/>
      <c r="E1737" s="465">
        <v>306779.23300000001</v>
      </c>
      <c r="F1737" s="465">
        <v>306779.23300000001</v>
      </c>
      <c r="G1737" s="465">
        <v>143110.45451000001</v>
      </c>
      <c r="H1737" s="465">
        <v>133915.98336000001</v>
      </c>
      <c r="I1737" s="466">
        <v>43.65</v>
      </c>
      <c r="J1737" s="466"/>
    </row>
    <row r="1738" spans="1:10" ht="25.5" outlineLevel="3">
      <c r="A1738" s="467" t="s">
        <v>888</v>
      </c>
      <c r="B1738" s="468" t="s">
        <v>2433</v>
      </c>
      <c r="C1738" s="469"/>
      <c r="D1738" s="468"/>
      <c r="E1738" s="470">
        <v>247699.40156</v>
      </c>
      <c r="F1738" s="470">
        <v>247699.40156</v>
      </c>
      <c r="G1738" s="470">
        <v>126700</v>
      </c>
      <c r="H1738" s="470">
        <v>121437.90193000001</v>
      </c>
      <c r="I1738" s="471">
        <v>49.03</v>
      </c>
      <c r="J1738" s="471"/>
    </row>
    <row r="1739" spans="1:10" ht="25.5" outlineLevel="4">
      <c r="A1739" s="472" t="s">
        <v>888</v>
      </c>
      <c r="B1739" s="473" t="s">
        <v>2433</v>
      </c>
      <c r="C1739" s="474" t="s">
        <v>2434</v>
      </c>
      <c r="D1739" s="473" t="s">
        <v>2435</v>
      </c>
      <c r="E1739" s="475">
        <v>247699.40156</v>
      </c>
      <c r="F1739" s="475">
        <v>247699.40156</v>
      </c>
      <c r="G1739" s="475">
        <v>126700</v>
      </c>
      <c r="H1739" s="475">
        <v>121437.90193000001</v>
      </c>
      <c r="I1739" s="471">
        <v>49.03</v>
      </c>
      <c r="J1739" s="471"/>
    </row>
    <row r="1740" spans="1:10" ht="38.25" outlineLevel="3">
      <c r="A1740" s="467" t="s">
        <v>869</v>
      </c>
      <c r="B1740" s="468" t="s">
        <v>2436</v>
      </c>
      <c r="C1740" s="469"/>
      <c r="D1740" s="468"/>
      <c r="E1740" s="470">
        <v>41298.176440000003</v>
      </c>
      <c r="F1740" s="470">
        <v>41298.176440000003</v>
      </c>
      <c r="G1740" s="470">
        <v>10014.281989999999</v>
      </c>
      <c r="H1740" s="470">
        <v>6383.8786600000003</v>
      </c>
      <c r="I1740" s="471">
        <v>15.46</v>
      </c>
      <c r="J1740" s="471"/>
    </row>
    <row r="1741" spans="1:10" ht="38.25" outlineLevel="4">
      <c r="A1741" s="472" t="s">
        <v>869</v>
      </c>
      <c r="B1741" s="473" t="s">
        <v>2436</v>
      </c>
      <c r="C1741" s="474" t="s">
        <v>2434</v>
      </c>
      <c r="D1741" s="473" t="s">
        <v>2435</v>
      </c>
      <c r="E1741" s="475">
        <v>41298.176440000003</v>
      </c>
      <c r="F1741" s="475">
        <v>41298.176440000003</v>
      </c>
      <c r="G1741" s="475">
        <v>10014.281989999999</v>
      </c>
      <c r="H1741" s="475">
        <v>6383.8786600000003</v>
      </c>
      <c r="I1741" s="471">
        <v>15.46</v>
      </c>
      <c r="J1741" s="471"/>
    </row>
    <row r="1742" spans="1:10" ht="51" outlineLevel="3">
      <c r="A1742" s="467" t="s">
        <v>2437</v>
      </c>
      <c r="B1742" s="468" t="s">
        <v>2438</v>
      </c>
      <c r="C1742" s="469"/>
      <c r="D1742" s="468"/>
      <c r="E1742" s="470">
        <v>1140</v>
      </c>
      <c r="F1742" s="470">
        <v>1140</v>
      </c>
      <c r="G1742" s="470">
        <v>240</v>
      </c>
      <c r="H1742" s="470">
        <v>225</v>
      </c>
      <c r="I1742" s="471">
        <v>19.739999999999998</v>
      </c>
      <c r="J1742" s="471"/>
    </row>
    <row r="1743" spans="1:10" ht="51" outlineLevel="4">
      <c r="A1743" s="472" t="s">
        <v>2437</v>
      </c>
      <c r="B1743" s="473" t="s">
        <v>2438</v>
      </c>
      <c r="C1743" s="474" t="s">
        <v>2434</v>
      </c>
      <c r="D1743" s="473" t="s">
        <v>2435</v>
      </c>
      <c r="E1743" s="475">
        <v>1140</v>
      </c>
      <c r="F1743" s="475">
        <v>1140</v>
      </c>
      <c r="G1743" s="475">
        <v>240</v>
      </c>
      <c r="H1743" s="475">
        <v>225</v>
      </c>
      <c r="I1743" s="471">
        <v>19.739999999999998</v>
      </c>
      <c r="J1743" s="471"/>
    </row>
    <row r="1744" spans="1:10" ht="63.75" outlineLevel="3">
      <c r="A1744" s="467" t="s">
        <v>62</v>
      </c>
      <c r="B1744" s="468" t="s">
        <v>2439</v>
      </c>
      <c r="C1744" s="469"/>
      <c r="D1744" s="468"/>
      <c r="E1744" s="470">
        <v>2725</v>
      </c>
      <c r="F1744" s="470">
        <v>2725</v>
      </c>
      <c r="G1744" s="470">
        <v>776.49145999999996</v>
      </c>
      <c r="H1744" s="470">
        <v>533.65254000000004</v>
      </c>
      <c r="I1744" s="471">
        <v>19.579999999999998</v>
      </c>
      <c r="J1744" s="471"/>
    </row>
    <row r="1745" spans="1:10" ht="63.75" outlineLevel="4">
      <c r="A1745" s="472" t="s">
        <v>62</v>
      </c>
      <c r="B1745" s="473" t="s">
        <v>2439</v>
      </c>
      <c r="C1745" s="474" t="s">
        <v>2434</v>
      </c>
      <c r="D1745" s="473" t="s">
        <v>2435</v>
      </c>
      <c r="E1745" s="475">
        <v>2725</v>
      </c>
      <c r="F1745" s="475">
        <v>2725</v>
      </c>
      <c r="G1745" s="475">
        <v>776.49145999999996</v>
      </c>
      <c r="H1745" s="475">
        <v>533.65254000000004</v>
      </c>
      <c r="I1745" s="471">
        <v>19.579999999999998</v>
      </c>
      <c r="J1745" s="471"/>
    </row>
    <row r="1746" spans="1:10" ht="76.5" outlineLevel="3">
      <c r="A1746" s="467" t="s">
        <v>1042</v>
      </c>
      <c r="B1746" s="468" t="s">
        <v>2440</v>
      </c>
      <c r="C1746" s="469"/>
      <c r="D1746" s="468"/>
      <c r="E1746" s="470">
        <v>157.5</v>
      </c>
      <c r="F1746" s="470">
        <v>157.5</v>
      </c>
      <c r="G1746" s="470">
        <v>16.5</v>
      </c>
      <c r="H1746" s="470">
        <v>16.5</v>
      </c>
      <c r="I1746" s="471">
        <v>10.48</v>
      </c>
      <c r="J1746" s="471"/>
    </row>
    <row r="1747" spans="1:10" ht="76.5" outlineLevel="4">
      <c r="A1747" s="472" t="s">
        <v>1042</v>
      </c>
      <c r="B1747" s="473" t="s">
        <v>2440</v>
      </c>
      <c r="C1747" s="474" t="s">
        <v>2434</v>
      </c>
      <c r="D1747" s="473" t="s">
        <v>2435</v>
      </c>
      <c r="E1747" s="475">
        <v>157.5</v>
      </c>
      <c r="F1747" s="475">
        <v>157.5</v>
      </c>
      <c r="G1747" s="475">
        <v>16.5</v>
      </c>
      <c r="H1747" s="475">
        <v>16.5</v>
      </c>
      <c r="I1747" s="471">
        <v>10.48</v>
      </c>
      <c r="J1747" s="471"/>
    </row>
    <row r="1748" spans="1:10" ht="51" outlineLevel="3">
      <c r="A1748" s="467" t="s">
        <v>2166</v>
      </c>
      <c r="B1748" s="468" t="s">
        <v>2441</v>
      </c>
      <c r="C1748" s="469"/>
      <c r="D1748" s="468"/>
      <c r="E1748" s="470">
        <v>13759.155000000001</v>
      </c>
      <c r="F1748" s="470">
        <v>13759.155000000001</v>
      </c>
      <c r="G1748" s="470">
        <v>5363.1810599999999</v>
      </c>
      <c r="H1748" s="470">
        <v>5319.0502299999998</v>
      </c>
      <c r="I1748" s="471">
        <v>38.659999999999997</v>
      </c>
      <c r="J1748" s="471"/>
    </row>
    <row r="1749" spans="1:10" ht="51" outlineLevel="4">
      <c r="A1749" s="472" t="s">
        <v>2166</v>
      </c>
      <c r="B1749" s="473" t="s">
        <v>2441</v>
      </c>
      <c r="C1749" s="474" t="s">
        <v>2434</v>
      </c>
      <c r="D1749" s="473" t="s">
        <v>2435</v>
      </c>
      <c r="E1749" s="475">
        <v>13759.155000000001</v>
      </c>
      <c r="F1749" s="475">
        <v>13759.155000000001</v>
      </c>
      <c r="G1749" s="475">
        <v>5363.1810599999999</v>
      </c>
      <c r="H1749" s="475">
        <v>5319.0502299999998</v>
      </c>
      <c r="I1749" s="471">
        <v>38.659999999999997</v>
      </c>
      <c r="J1749" s="471"/>
    </row>
    <row r="1750" spans="1:10" ht="25.5" outlineLevel="1">
      <c r="A1750" s="457" t="s">
        <v>2442</v>
      </c>
      <c r="B1750" s="458" t="s">
        <v>2443</v>
      </c>
      <c r="C1750" s="459"/>
      <c r="D1750" s="458"/>
      <c r="E1750" s="460">
        <v>55742.044759999997</v>
      </c>
      <c r="F1750" s="460">
        <v>55742.044759999997</v>
      </c>
      <c r="G1750" s="460">
        <v>21694.525000000001</v>
      </c>
      <c r="H1750" s="460">
        <v>15833.4542</v>
      </c>
      <c r="I1750" s="461">
        <v>28.4</v>
      </c>
      <c r="J1750" s="461"/>
    </row>
    <row r="1751" spans="1:10" ht="25.5" outlineLevel="2">
      <c r="A1751" s="462" t="s">
        <v>2442</v>
      </c>
      <c r="B1751" s="463" t="s">
        <v>2443</v>
      </c>
      <c r="C1751" s="464"/>
      <c r="D1751" s="463"/>
      <c r="E1751" s="465">
        <v>55742.044759999997</v>
      </c>
      <c r="F1751" s="465">
        <v>55742.044759999997</v>
      </c>
      <c r="G1751" s="465">
        <v>21694.525000000001</v>
      </c>
      <c r="H1751" s="465">
        <v>15833.4542</v>
      </c>
      <c r="I1751" s="466">
        <v>28.4</v>
      </c>
      <c r="J1751" s="466"/>
    </row>
    <row r="1752" spans="1:10" ht="25.5" outlineLevel="3">
      <c r="A1752" s="467" t="s">
        <v>888</v>
      </c>
      <c r="B1752" s="468" t="s">
        <v>2444</v>
      </c>
      <c r="C1752" s="469"/>
      <c r="D1752" s="468"/>
      <c r="E1752" s="470">
        <v>38333.344129999998</v>
      </c>
      <c r="F1752" s="470">
        <v>38333.344129999998</v>
      </c>
      <c r="G1752" s="470">
        <v>18190</v>
      </c>
      <c r="H1752" s="470">
        <v>13716.955319999999</v>
      </c>
      <c r="I1752" s="471">
        <v>35.78</v>
      </c>
      <c r="J1752" s="471"/>
    </row>
    <row r="1753" spans="1:10" ht="25.5" outlineLevel="4">
      <c r="A1753" s="472" t="s">
        <v>888</v>
      </c>
      <c r="B1753" s="473" t="s">
        <v>2444</v>
      </c>
      <c r="C1753" s="474" t="s">
        <v>2445</v>
      </c>
      <c r="D1753" s="473" t="s">
        <v>2446</v>
      </c>
      <c r="E1753" s="475">
        <v>38333.344129999998</v>
      </c>
      <c r="F1753" s="475">
        <v>38333.344129999998</v>
      </c>
      <c r="G1753" s="475">
        <v>18190</v>
      </c>
      <c r="H1753" s="475">
        <v>13716.955319999999</v>
      </c>
      <c r="I1753" s="471">
        <v>35.78</v>
      </c>
      <c r="J1753" s="471"/>
    </row>
    <row r="1754" spans="1:10" ht="38.25" outlineLevel="3">
      <c r="A1754" s="467" t="s">
        <v>869</v>
      </c>
      <c r="B1754" s="468" t="s">
        <v>2447</v>
      </c>
      <c r="C1754" s="469"/>
      <c r="D1754" s="468"/>
      <c r="E1754" s="470">
        <v>16808.700629999999</v>
      </c>
      <c r="F1754" s="470">
        <v>16808.700629999999</v>
      </c>
      <c r="G1754" s="470">
        <v>3404.5250000000001</v>
      </c>
      <c r="H1754" s="470">
        <v>2103.5168800000001</v>
      </c>
      <c r="I1754" s="471">
        <v>12.51</v>
      </c>
      <c r="J1754" s="471"/>
    </row>
    <row r="1755" spans="1:10" ht="38.25" outlineLevel="4">
      <c r="A1755" s="472" t="s">
        <v>869</v>
      </c>
      <c r="B1755" s="473" t="s">
        <v>2447</v>
      </c>
      <c r="C1755" s="474" t="s">
        <v>2445</v>
      </c>
      <c r="D1755" s="473" t="s">
        <v>2446</v>
      </c>
      <c r="E1755" s="475">
        <v>16808.700629999999</v>
      </c>
      <c r="F1755" s="475">
        <v>16808.700629999999</v>
      </c>
      <c r="G1755" s="475">
        <v>3404.5250000000001</v>
      </c>
      <c r="H1755" s="475">
        <v>2103.5168800000001</v>
      </c>
      <c r="I1755" s="471">
        <v>12.51</v>
      </c>
      <c r="J1755" s="471"/>
    </row>
    <row r="1756" spans="1:10" ht="63.75" outlineLevel="3">
      <c r="A1756" s="467" t="s">
        <v>62</v>
      </c>
      <c r="B1756" s="468" t="s">
        <v>2448</v>
      </c>
      <c r="C1756" s="469"/>
      <c r="D1756" s="468"/>
      <c r="E1756" s="470">
        <v>600</v>
      </c>
      <c r="F1756" s="470">
        <v>600</v>
      </c>
      <c r="G1756" s="470">
        <v>100</v>
      </c>
      <c r="H1756" s="470">
        <v>12.981999999999999</v>
      </c>
      <c r="I1756" s="471">
        <v>2.16</v>
      </c>
      <c r="J1756" s="471"/>
    </row>
    <row r="1757" spans="1:10" ht="63.75" outlineLevel="4">
      <c r="A1757" s="472" t="s">
        <v>62</v>
      </c>
      <c r="B1757" s="473" t="s">
        <v>2448</v>
      </c>
      <c r="C1757" s="474" t="s">
        <v>2445</v>
      </c>
      <c r="D1757" s="473" t="s">
        <v>2446</v>
      </c>
      <c r="E1757" s="475">
        <v>600</v>
      </c>
      <c r="F1757" s="475">
        <v>600</v>
      </c>
      <c r="G1757" s="475">
        <v>100</v>
      </c>
      <c r="H1757" s="475">
        <v>12.981999999999999</v>
      </c>
      <c r="I1757" s="471">
        <v>2.16</v>
      </c>
      <c r="J1757" s="471"/>
    </row>
    <row r="1758" spans="1:10" ht="38.25" outlineLevel="1">
      <c r="A1758" s="457" t="s">
        <v>2449</v>
      </c>
      <c r="B1758" s="458" t="s">
        <v>2450</v>
      </c>
      <c r="C1758" s="459"/>
      <c r="D1758" s="458"/>
      <c r="E1758" s="460">
        <v>2822.5360700000001</v>
      </c>
      <c r="F1758" s="460">
        <v>2822.5360700000001</v>
      </c>
      <c r="G1758" s="460">
        <v>1270</v>
      </c>
      <c r="H1758" s="460">
        <v>718.71014000000002</v>
      </c>
      <c r="I1758" s="461">
        <v>25.46</v>
      </c>
      <c r="J1758" s="461"/>
    </row>
    <row r="1759" spans="1:10" ht="38.25" outlineLevel="2">
      <c r="A1759" s="462" t="s">
        <v>2449</v>
      </c>
      <c r="B1759" s="463" t="s">
        <v>2450</v>
      </c>
      <c r="C1759" s="464"/>
      <c r="D1759" s="463"/>
      <c r="E1759" s="465">
        <v>2822.5360700000001</v>
      </c>
      <c r="F1759" s="465">
        <v>2822.5360700000001</v>
      </c>
      <c r="G1759" s="465">
        <v>1270</v>
      </c>
      <c r="H1759" s="465">
        <v>718.71014000000002</v>
      </c>
      <c r="I1759" s="466">
        <v>25.46</v>
      </c>
      <c r="J1759" s="466"/>
    </row>
    <row r="1760" spans="1:10" ht="25.5" outlineLevel="3">
      <c r="A1760" s="467" t="s">
        <v>888</v>
      </c>
      <c r="B1760" s="468" t="s">
        <v>2451</v>
      </c>
      <c r="C1760" s="469"/>
      <c r="D1760" s="468"/>
      <c r="E1760" s="470">
        <v>2562.5360700000001</v>
      </c>
      <c r="F1760" s="470">
        <v>2562.5360700000001</v>
      </c>
      <c r="G1760" s="470">
        <v>1220</v>
      </c>
      <c r="H1760" s="470">
        <v>718.71014000000002</v>
      </c>
      <c r="I1760" s="471">
        <v>28.05</v>
      </c>
      <c r="J1760" s="471"/>
    </row>
    <row r="1761" spans="1:10" ht="25.5" outlineLevel="4">
      <c r="A1761" s="472" t="s">
        <v>888</v>
      </c>
      <c r="B1761" s="473" t="s">
        <v>2451</v>
      </c>
      <c r="C1761" s="474" t="s">
        <v>2275</v>
      </c>
      <c r="D1761" s="473" t="s">
        <v>2276</v>
      </c>
      <c r="E1761" s="475">
        <v>2562.5360700000001</v>
      </c>
      <c r="F1761" s="475">
        <v>2562.5360700000001</v>
      </c>
      <c r="G1761" s="475">
        <v>1220</v>
      </c>
      <c r="H1761" s="475">
        <v>718.71014000000002</v>
      </c>
      <c r="I1761" s="471">
        <v>28.05</v>
      </c>
      <c r="J1761" s="471"/>
    </row>
    <row r="1762" spans="1:10" ht="38.25" outlineLevel="3">
      <c r="A1762" s="467" t="s">
        <v>869</v>
      </c>
      <c r="B1762" s="468" t="s">
        <v>2452</v>
      </c>
      <c r="C1762" s="469"/>
      <c r="D1762" s="468"/>
      <c r="E1762" s="470">
        <v>230</v>
      </c>
      <c r="F1762" s="470">
        <v>230</v>
      </c>
      <c r="G1762" s="470">
        <v>50</v>
      </c>
      <c r="H1762" s="470">
        <v>0</v>
      </c>
      <c r="I1762" s="471">
        <v>0</v>
      </c>
      <c r="J1762" s="471"/>
    </row>
    <row r="1763" spans="1:10" ht="38.25" outlineLevel="4">
      <c r="A1763" s="472" t="s">
        <v>869</v>
      </c>
      <c r="B1763" s="473" t="s">
        <v>2452</v>
      </c>
      <c r="C1763" s="474" t="s">
        <v>2275</v>
      </c>
      <c r="D1763" s="473" t="s">
        <v>2276</v>
      </c>
      <c r="E1763" s="475">
        <v>230</v>
      </c>
      <c r="F1763" s="475">
        <v>230</v>
      </c>
      <c r="G1763" s="475">
        <v>50</v>
      </c>
      <c r="H1763" s="475">
        <v>0</v>
      </c>
      <c r="I1763" s="471">
        <v>0</v>
      </c>
      <c r="J1763" s="471"/>
    </row>
    <row r="1764" spans="1:10" ht="63.75" outlineLevel="3">
      <c r="A1764" s="467" t="s">
        <v>62</v>
      </c>
      <c r="B1764" s="468" t="s">
        <v>2453</v>
      </c>
      <c r="C1764" s="469"/>
      <c r="D1764" s="468"/>
      <c r="E1764" s="470">
        <v>30</v>
      </c>
      <c r="F1764" s="470">
        <v>30</v>
      </c>
      <c r="G1764" s="470">
        <v>0</v>
      </c>
      <c r="H1764" s="470">
        <v>0</v>
      </c>
      <c r="I1764" s="471">
        <v>0</v>
      </c>
      <c r="J1764" s="471"/>
    </row>
    <row r="1765" spans="1:10" ht="63.75" outlineLevel="4">
      <c r="A1765" s="472" t="s">
        <v>62</v>
      </c>
      <c r="B1765" s="473" t="s">
        <v>2453</v>
      </c>
      <c r="C1765" s="474" t="s">
        <v>2275</v>
      </c>
      <c r="D1765" s="473" t="s">
        <v>2276</v>
      </c>
      <c r="E1765" s="475">
        <v>30</v>
      </c>
      <c r="F1765" s="475">
        <v>30</v>
      </c>
      <c r="G1765" s="475">
        <v>0</v>
      </c>
      <c r="H1765" s="475">
        <v>0</v>
      </c>
      <c r="I1765" s="471">
        <v>0</v>
      </c>
      <c r="J1765" s="471"/>
    </row>
    <row r="1766" spans="1:10" ht="38.25" outlineLevel="1">
      <c r="A1766" s="457" t="s">
        <v>2454</v>
      </c>
      <c r="B1766" s="458" t="s">
        <v>2455</v>
      </c>
      <c r="C1766" s="459"/>
      <c r="D1766" s="458"/>
      <c r="E1766" s="460">
        <v>9210.4353900000006</v>
      </c>
      <c r="F1766" s="460">
        <v>9210.4353900000006</v>
      </c>
      <c r="G1766" s="460">
        <v>4730.24629</v>
      </c>
      <c r="H1766" s="460">
        <v>4687.8217299999997</v>
      </c>
      <c r="I1766" s="461">
        <v>50.9</v>
      </c>
      <c r="J1766" s="461"/>
    </row>
    <row r="1767" spans="1:10" ht="38.25" outlineLevel="2">
      <c r="A1767" s="462" t="s">
        <v>2454</v>
      </c>
      <c r="B1767" s="463" t="s">
        <v>2455</v>
      </c>
      <c r="C1767" s="464"/>
      <c r="D1767" s="463"/>
      <c r="E1767" s="465">
        <v>9210.4353900000006</v>
      </c>
      <c r="F1767" s="465">
        <v>9210.4353900000006</v>
      </c>
      <c r="G1767" s="465">
        <v>4730.24629</v>
      </c>
      <c r="H1767" s="465">
        <v>4687.8217299999997</v>
      </c>
      <c r="I1767" s="466">
        <v>50.9</v>
      </c>
      <c r="J1767" s="466"/>
    </row>
    <row r="1768" spans="1:10" ht="25.5" outlineLevel="3">
      <c r="A1768" s="467" t="s">
        <v>888</v>
      </c>
      <c r="B1768" s="468" t="s">
        <v>2456</v>
      </c>
      <c r="C1768" s="469"/>
      <c r="D1768" s="468"/>
      <c r="E1768" s="470">
        <v>8155.4376199999997</v>
      </c>
      <c r="F1768" s="470">
        <v>8155.4376199999997</v>
      </c>
      <c r="G1768" s="470">
        <v>4489</v>
      </c>
      <c r="H1768" s="470">
        <v>4446.9677199999996</v>
      </c>
      <c r="I1768" s="471">
        <v>54.53</v>
      </c>
      <c r="J1768" s="471"/>
    </row>
    <row r="1769" spans="1:10" ht="25.5" outlineLevel="4">
      <c r="A1769" s="472" t="s">
        <v>888</v>
      </c>
      <c r="B1769" s="473" t="s">
        <v>2456</v>
      </c>
      <c r="C1769" s="474" t="s">
        <v>2457</v>
      </c>
      <c r="D1769" s="473" t="s">
        <v>2458</v>
      </c>
      <c r="E1769" s="475">
        <v>8155.4376199999997</v>
      </c>
      <c r="F1769" s="475">
        <v>8155.4376199999997</v>
      </c>
      <c r="G1769" s="475">
        <v>4489</v>
      </c>
      <c r="H1769" s="475">
        <v>4446.9677199999996</v>
      </c>
      <c r="I1769" s="471">
        <v>54.53</v>
      </c>
      <c r="J1769" s="471"/>
    </row>
    <row r="1770" spans="1:10" ht="38.25" outlineLevel="3">
      <c r="A1770" s="467" t="s">
        <v>869</v>
      </c>
      <c r="B1770" s="468" t="s">
        <v>2459</v>
      </c>
      <c r="C1770" s="469"/>
      <c r="D1770" s="468"/>
      <c r="E1770" s="470">
        <v>914.99776999999995</v>
      </c>
      <c r="F1770" s="470">
        <v>914.99776999999995</v>
      </c>
      <c r="G1770" s="470">
        <v>234.24628999999999</v>
      </c>
      <c r="H1770" s="470">
        <v>233.85400999999999</v>
      </c>
      <c r="I1770" s="471">
        <v>25.56</v>
      </c>
      <c r="J1770" s="471"/>
    </row>
    <row r="1771" spans="1:10" ht="38.25" outlineLevel="4">
      <c r="A1771" s="472" t="s">
        <v>869</v>
      </c>
      <c r="B1771" s="473" t="s">
        <v>2459</v>
      </c>
      <c r="C1771" s="474" t="s">
        <v>2457</v>
      </c>
      <c r="D1771" s="473" t="s">
        <v>2458</v>
      </c>
      <c r="E1771" s="475">
        <v>914.99776999999995</v>
      </c>
      <c r="F1771" s="475">
        <v>914.99776999999995</v>
      </c>
      <c r="G1771" s="475">
        <v>234.24628999999999</v>
      </c>
      <c r="H1771" s="475">
        <v>233.85400999999999</v>
      </c>
      <c r="I1771" s="471">
        <v>25.56</v>
      </c>
      <c r="J1771" s="471"/>
    </row>
    <row r="1772" spans="1:10" ht="63.75" outlineLevel="3">
      <c r="A1772" s="467" t="s">
        <v>62</v>
      </c>
      <c r="B1772" s="468" t="s">
        <v>2460</v>
      </c>
      <c r="C1772" s="469"/>
      <c r="D1772" s="468"/>
      <c r="E1772" s="470">
        <v>100</v>
      </c>
      <c r="F1772" s="470">
        <v>100</v>
      </c>
      <c r="G1772" s="470">
        <v>0</v>
      </c>
      <c r="H1772" s="470">
        <v>0</v>
      </c>
      <c r="I1772" s="471">
        <v>0</v>
      </c>
      <c r="J1772" s="471"/>
    </row>
    <row r="1773" spans="1:10" ht="63.75" outlineLevel="4">
      <c r="A1773" s="472" t="s">
        <v>62</v>
      </c>
      <c r="B1773" s="473" t="s">
        <v>2460</v>
      </c>
      <c r="C1773" s="474" t="s">
        <v>2457</v>
      </c>
      <c r="D1773" s="473" t="s">
        <v>2458</v>
      </c>
      <c r="E1773" s="475">
        <v>100</v>
      </c>
      <c r="F1773" s="475">
        <v>100</v>
      </c>
      <c r="G1773" s="475">
        <v>0</v>
      </c>
      <c r="H1773" s="475">
        <v>0</v>
      </c>
      <c r="I1773" s="471">
        <v>0</v>
      </c>
      <c r="J1773" s="471"/>
    </row>
    <row r="1774" spans="1:10" ht="76.5" outlineLevel="3">
      <c r="A1774" s="467" t="s">
        <v>1042</v>
      </c>
      <c r="B1774" s="468" t="s">
        <v>2461</v>
      </c>
      <c r="C1774" s="469"/>
      <c r="D1774" s="468"/>
      <c r="E1774" s="470">
        <v>40</v>
      </c>
      <c r="F1774" s="470">
        <v>40</v>
      </c>
      <c r="G1774" s="470">
        <v>7</v>
      </c>
      <c r="H1774" s="470">
        <v>7</v>
      </c>
      <c r="I1774" s="471">
        <v>17.5</v>
      </c>
      <c r="J1774" s="471"/>
    </row>
    <row r="1775" spans="1:10" ht="76.5" outlineLevel="4">
      <c r="A1775" s="472" t="s">
        <v>1042</v>
      </c>
      <c r="B1775" s="473" t="s">
        <v>2461</v>
      </c>
      <c r="C1775" s="474" t="s">
        <v>2457</v>
      </c>
      <c r="D1775" s="473" t="s">
        <v>2458</v>
      </c>
      <c r="E1775" s="475">
        <v>40</v>
      </c>
      <c r="F1775" s="475">
        <v>40</v>
      </c>
      <c r="G1775" s="475">
        <v>7</v>
      </c>
      <c r="H1775" s="475">
        <v>7</v>
      </c>
      <c r="I1775" s="471">
        <v>17.5</v>
      </c>
      <c r="J1775" s="471"/>
    </row>
    <row r="1776" spans="1:10" ht="38.25" outlineLevel="1">
      <c r="A1776" s="457" t="s">
        <v>2462</v>
      </c>
      <c r="B1776" s="458" t="s">
        <v>2463</v>
      </c>
      <c r="C1776" s="459"/>
      <c r="D1776" s="458"/>
      <c r="E1776" s="460">
        <v>83175.786829999997</v>
      </c>
      <c r="F1776" s="460">
        <v>83175.786829999997</v>
      </c>
      <c r="G1776" s="460">
        <v>40513.507030000001</v>
      </c>
      <c r="H1776" s="460">
        <v>37894.785519999998</v>
      </c>
      <c r="I1776" s="461">
        <v>45.56</v>
      </c>
      <c r="J1776" s="461"/>
    </row>
    <row r="1777" spans="1:10" ht="38.25" outlineLevel="2">
      <c r="A1777" s="462" t="s">
        <v>2462</v>
      </c>
      <c r="B1777" s="463" t="s">
        <v>2463</v>
      </c>
      <c r="C1777" s="464"/>
      <c r="D1777" s="463"/>
      <c r="E1777" s="465">
        <v>83175.786829999997</v>
      </c>
      <c r="F1777" s="465">
        <v>83175.786829999997</v>
      </c>
      <c r="G1777" s="465">
        <v>40513.507030000001</v>
      </c>
      <c r="H1777" s="465">
        <v>37894.785519999998</v>
      </c>
      <c r="I1777" s="466">
        <v>45.56</v>
      </c>
      <c r="J1777" s="466"/>
    </row>
    <row r="1778" spans="1:10" ht="25.5" outlineLevel="3">
      <c r="A1778" s="467" t="s">
        <v>888</v>
      </c>
      <c r="B1778" s="468" t="s">
        <v>2464</v>
      </c>
      <c r="C1778" s="469"/>
      <c r="D1778" s="468"/>
      <c r="E1778" s="470">
        <v>76590.814799999993</v>
      </c>
      <c r="F1778" s="470">
        <v>76590.814799999993</v>
      </c>
      <c r="G1778" s="470">
        <v>38537.421249999999</v>
      </c>
      <c r="H1778" s="470">
        <v>36127.532249999997</v>
      </c>
      <c r="I1778" s="471">
        <v>47.17</v>
      </c>
      <c r="J1778" s="471"/>
    </row>
    <row r="1779" spans="1:10" ht="25.5" outlineLevel="4">
      <c r="A1779" s="472" t="s">
        <v>888</v>
      </c>
      <c r="B1779" s="473" t="s">
        <v>2464</v>
      </c>
      <c r="C1779" s="474" t="s">
        <v>2465</v>
      </c>
      <c r="D1779" s="473" t="s">
        <v>2466</v>
      </c>
      <c r="E1779" s="475">
        <v>76590.814799999993</v>
      </c>
      <c r="F1779" s="475">
        <v>76590.814799999993</v>
      </c>
      <c r="G1779" s="475">
        <v>38537.421249999999</v>
      </c>
      <c r="H1779" s="475">
        <v>36127.532249999997</v>
      </c>
      <c r="I1779" s="471">
        <v>47.17</v>
      </c>
      <c r="J1779" s="471"/>
    </row>
    <row r="1780" spans="1:10" ht="38.25" outlineLevel="3">
      <c r="A1780" s="467" t="s">
        <v>869</v>
      </c>
      <c r="B1780" s="468" t="s">
        <v>2467</v>
      </c>
      <c r="C1780" s="469"/>
      <c r="D1780" s="468"/>
      <c r="E1780" s="470">
        <v>4833.4720299999999</v>
      </c>
      <c r="F1780" s="470">
        <v>4833.4720299999999</v>
      </c>
      <c r="G1780" s="470">
        <v>1751.56098</v>
      </c>
      <c r="H1780" s="470">
        <v>1657.72847</v>
      </c>
      <c r="I1780" s="471">
        <v>34.299999999999997</v>
      </c>
      <c r="J1780" s="471"/>
    </row>
    <row r="1781" spans="1:10" ht="38.25" outlineLevel="4">
      <c r="A1781" s="472" t="s">
        <v>869</v>
      </c>
      <c r="B1781" s="473" t="s">
        <v>2467</v>
      </c>
      <c r="C1781" s="474" t="s">
        <v>2465</v>
      </c>
      <c r="D1781" s="473" t="s">
        <v>2466</v>
      </c>
      <c r="E1781" s="475">
        <v>4833.4720299999999</v>
      </c>
      <c r="F1781" s="475">
        <v>4833.4720299999999</v>
      </c>
      <c r="G1781" s="475">
        <v>1751.56098</v>
      </c>
      <c r="H1781" s="475">
        <v>1657.72847</v>
      </c>
      <c r="I1781" s="471">
        <v>34.299999999999997</v>
      </c>
      <c r="J1781" s="471"/>
    </row>
    <row r="1782" spans="1:10" ht="63.75" outlineLevel="3">
      <c r="A1782" s="467" t="s">
        <v>62</v>
      </c>
      <c r="B1782" s="468" t="s">
        <v>2468</v>
      </c>
      <c r="C1782" s="469"/>
      <c r="D1782" s="468"/>
      <c r="E1782" s="470">
        <v>1751.5</v>
      </c>
      <c r="F1782" s="470">
        <v>1751.5</v>
      </c>
      <c r="G1782" s="470">
        <v>224.5248</v>
      </c>
      <c r="H1782" s="470">
        <v>109.5248</v>
      </c>
      <c r="I1782" s="471">
        <v>6.25</v>
      </c>
      <c r="J1782" s="471"/>
    </row>
    <row r="1783" spans="1:10" ht="63.75" outlineLevel="4">
      <c r="A1783" s="472" t="s">
        <v>62</v>
      </c>
      <c r="B1783" s="473" t="s">
        <v>2468</v>
      </c>
      <c r="C1783" s="474" t="s">
        <v>2465</v>
      </c>
      <c r="D1783" s="473" t="s">
        <v>2466</v>
      </c>
      <c r="E1783" s="475">
        <v>1751.5</v>
      </c>
      <c r="F1783" s="475">
        <v>1751.5</v>
      </c>
      <c r="G1783" s="475">
        <v>224.5248</v>
      </c>
      <c r="H1783" s="475">
        <v>109.5248</v>
      </c>
      <c r="I1783" s="471">
        <v>6.25</v>
      </c>
      <c r="J1783" s="471"/>
    </row>
    <row r="1784" spans="1:10" ht="51" outlineLevel="1">
      <c r="A1784" s="457" t="s">
        <v>2469</v>
      </c>
      <c r="B1784" s="458" t="s">
        <v>2470</v>
      </c>
      <c r="C1784" s="459"/>
      <c r="D1784" s="458"/>
      <c r="E1784" s="460">
        <v>2822.5360700000001</v>
      </c>
      <c r="F1784" s="460">
        <v>2822.5360700000001</v>
      </c>
      <c r="G1784" s="460">
        <v>1410</v>
      </c>
      <c r="H1784" s="460">
        <v>944.26673000000005</v>
      </c>
      <c r="I1784" s="461">
        <v>33.450000000000003</v>
      </c>
      <c r="J1784" s="461"/>
    </row>
    <row r="1785" spans="1:10" ht="51" outlineLevel="2">
      <c r="A1785" s="462" t="s">
        <v>2469</v>
      </c>
      <c r="B1785" s="463" t="s">
        <v>2470</v>
      </c>
      <c r="C1785" s="464"/>
      <c r="D1785" s="463"/>
      <c r="E1785" s="465">
        <v>2822.5360700000001</v>
      </c>
      <c r="F1785" s="465">
        <v>2822.5360700000001</v>
      </c>
      <c r="G1785" s="465">
        <v>1410</v>
      </c>
      <c r="H1785" s="465">
        <v>944.26673000000005</v>
      </c>
      <c r="I1785" s="466">
        <v>33.450000000000003</v>
      </c>
      <c r="J1785" s="466"/>
    </row>
    <row r="1786" spans="1:10" ht="25.5" outlineLevel="3">
      <c r="A1786" s="467" t="s">
        <v>888</v>
      </c>
      <c r="B1786" s="468" t="s">
        <v>2471</v>
      </c>
      <c r="C1786" s="469"/>
      <c r="D1786" s="468"/>
      <c r="E1786" s="470">
        <v>2562.5360700000001</v>
      </c>
      <c r="F1786" s="470">
        <v>2562.5360700000001</v>
      </c>
      <c r="G1786" s="470">
        <v>1380</v>
      </c>
      <c r="H1786" s="470">
        <v>944.26673000000005</v>
      </c>
      <c r="I1786" s="471">
        <v>36.85</v>
      </c>
      <c r="J1786" s="471"/>
    </row>
    <row r="1787" spans="1:10" ht="25.5" outlineLevel="4">
      <c r="A1787" s="472" t="s">
        <v>888</v>
      </c>
      <c r="B1787" s="473" t="s">
        <v>2471</v>
      </c>
      <c r="C1787" s="474" t="s">
        <v>2275</v>
      </c>
      <c r="D1787" s="473" t="s">
        <v>2276</v>
      </c>
      <c r="E1787" s="475">
        <v>2562.5360700000001</v>
      </c>
      <c r="F1787" s="475">
        <v>2562.5360700000001</v>
      </c>
      <c r="G1787" s="475">
        <v>1380</v>
      </c>
      <c r="H1787" s="475">
        <v>944.26673000000005</v>
      </c>
      <c r="I1787" s="471">
        <v>36.85</v>
      </c>
      <c r="J1787" s="471"/>
    </row>
    <row r="1788" spans="1:10" ht="38.25" outlineLevel="3">
      <c r="A1788" s="467" t="s">
        <v>869</v>
      </c>
      <c r="B1788" s="468" t="s">
        <v>2472</v>
      </c>
      <c r="C1788" s="469"/>
      <c r="D1788" s="468"/>
      <c r="E1788" s="470">
        <v>230</v>
      </c>
      <c r="F1788" s="470">
        <v>230</v>
      </c>
      <c r="G1788" s="470">
        <v>30</v>
      </c>
      <c r="H1788" s="470">
        <v>0</v>
      </c>
      <c r="I1788" s="471">
        <v>0</v>
      </c>
      <c r="J1788" s="471"/>
    </row>
    <row r="1789" spans="1:10" ht="38.25" outlineLevel="4">
      <c r="A1789" s="472" t="s">
        <v>869</v>
      </c>
      <c r="B1789" s="473" t="s">
        <v>2472</v>
      </c>
      <c r="C1789" s="474" t="s">
        <v>2275</v>
      </c>
      <c r="D1789" s="473" t="s">
        <v>2276</v>
      </c>
      <c r="E1789" s="475">
        <v>230</v>
      </c>
      <c r="F1789" s="475">
        <v>230</v>
      </c>
      <c r="G1789" s="475">
        <v>30</v>
      </c>
      <c r="H1789" s="475">
        <v>0</v>
      </c>
      <c r="I1789" s="471">
        <v>0</v>
      </c>
      <c r="J1789" s="471"/>
    </row>
    <row r="1790" spans="1:10" ht="63.75" outlineLevel="3">
      <c r="A1790" s="467" t="s">
        <v>62</v>
      </c>
      <c r="B1790" s="468" t="s">
        <v>2473</v>
      </c>
      <c r="C1790" s="469"/>
      <c r="D1790" s="468"/>
      <c r="E1790" s="470">
        <v>30</v>
      </c>
      <c r="F1790" s="470">
        <v>30</v>
      </c>
      <c r="G1790" s="470">
        <v>0</v>
      </c>
      <c r="H1790" s="470">
        <v>0</v>
      </c>
      <c r="I1790" s="471">
        <v>0</v>
      </c>
      <c r="J1790" s="471"/>
    </row>
    <row r="1791" spans="1:10" ht="63.75" outlineLevel="4">
      <c r="A1791" s="472" t="s">
        <v>62</v>
      </c>
      <c r="B1791" s="473" t="s">
        <v>2473</v>
      </c>
      <c r="C1791" s="474" t="s">
        <v>2275</v>
      </c>
      <c r="D1791" s="473" t="s">
        <v>2276</v>
      </c>
      <c r="E1791" s="475">
        <v>30</v>
      </c>
      <c r="F1791" s="475">
        <v>30</v>
      </c>
      <c r="G1791" s="475">
        <v>0</v>
      </c>
      <c r="H1791" s="475">
        <v>0</v>
      </c>
      <c r="I1791" s="471">
        <v>0</v>
      </c>
      <c r="J1791" s="471"/>
    </row>
    <row r="1792" spans="1:10" ht="38.25" outlineLevel="1">
      <c r="A1792" s="457" t="s">
        <v>2474</v>
      </c>
      <c r="B1792" s="458" t="s">
        <v>2475</v>
      </c>
      <c r="C1792" s="459"/>
      <c r="D1792" s="458"/>
      <c r="E1792" s="460">
        <v>44952.243750000001</v>
      </c>
      <c r="F1792" s="460">
        <v>44952.243750000001</v>
      </c>
      <c r="G1792" s="460">
        <v>26181.762470000001</v>
      </c>
      <c r="H1792" s="460">
        <v>24553.83511</v>
      </c>
      <c r="I1792" s="461">
        <v>54.62</v>
      </c>
      <c r="J1792" s="461"/>
    </row>
    <row r="1793" spans="1:10" ht="38.25" outlineLevel="2">
      <c r="A1793" s="462" t="s">
        <v>2474</v>
      </c>
      <c r="B1793" s="463" t="s">
        <v>2475</v>
      </c>
      <c r="C1793" s="464"/>
      <c r="D1793" s="463"/>
      <c r="E1793" s="465">
        <v>44952.243750000001</v>
      </c>
      <c r="F1793" s="465">
        <v>44952.243750000001</v>
      </c>
      <c r="G1793" s="465">
        <v>26181.762470000001</v>
      </c>
      <c r="H1793" s="465">
        <v>24553.83511</v>
      </c>
      <c r="I1793" s="466">
        <v>54.62</v>
      </c>
      <c r="J1793" s="466"/>
    </row>
    <row r="1794" spans="1:10" ht="25.5" outlineLevel="3">
      <c r="A1794" s="467" t="s">
        <v>888</v>
      </c>
      <c r="B1794" s="468" t="s">
        <v>2476</v>
      </c>
      <c r="C1794" s="469"/>
      <c r="D1794" s="468"/>
      <c r="E1794" s="470">
        <v>41423.591350000002</v>
      </c>
      <c r="F1794" s="470">
        <v>41423.591350000002</v>
      </c>
      <c r="G1794" s="470">
        <v>25122.5</v>
      </c>
      <c r="H1794" s="470">
        <v>23652.042140000001</v>
      </c>
      <c r="I1794" s="471">
        <v>57.1</v>
      </c>
      <c r="J1794" s="471"/>
    </row>
    <row r="1795" spans="1:10" ht="25.5" outlineLevel="4">
      <c r="A1795" s="472" t="s">
        <v>888</v>
      </c>
      <c r="B1795" s="473" t="s">
        <v>2476</v>
      </c>
      <c r="C1795" s="474" t="s">
        <v>2477</v>
      </c>
      <c r="D1795" s="473" t="s">
        <v>2478</v>
      </c>
      <c r="E1795" s="475">
        <v>41423.591350000002</v>
      </c>
      <c r="F1795" s="475">
        <v>41423.591350000002</v>
      </c>
      <c r="G1795" s="475">
        <v>25122.5</v>
      </c>
      <c r="H1795" s="475">
        <v>23652.042140000001</v>
      </c>
      <c r="I1795" s="471">
        <v>57.1</v>
      </c>
      <c r="J1795" s="471"/>
    </row>
    <row r="1796" spans="1:10" ht="38.25" outlineLevel="3">
      <c r="A1796" s="467" t="s">
        <v>869</v>
      </c>
      <c r="B1796" s="468" t="s">
        <v>2479</v>
      </c>
      <c r="C1796" s="469"/>
      <c r="D1796" s="468"/>
      <c r="E1796" s="470">
        <v>2533.3524000000002</v>
      </c>
      <c r="F1796" s="470">
        <v>2533.3524000000002</v>
      </c>
      <c r="G1796" s="470">
        <v>906.68447000000003</v>
      </c>
      <c r="H1796" s="470">
        <v>772.97046999999998</v>
      </c>
      <c r="I1796" s="471">
        <v>30.51</v>
      </c>
      <c r="J1796" s="471"/>
    </row>
    <row r="1797" spans="1:10" ht="38.25" outlineLevel="4">
      <c r="A1797" s="472" t="s">
        <v>869</v>
      </c>
      <c r="B1797" s="473" t="s">
        <v>2479</v>
      </c>
      <c r="C1797" s="474" t="s">
        <v>2477</v>
      </c>
      <c r="D1797" s="473" t="s">
        <v>2478</v>
      </c>
      <c r="E1797" s="475">
        <v>2533.3524000000002</v>
      </c>
      <c r="F1797" s="475">
        <v>2533.3524000000002</v>
      </c>
      <c r="G1797" s="475">
        <v>906.68447000000003</v>
      </c>
      <c r="H1797" s="475">
        <v>772.97046999999998</v>
      </c>
      <c r="I1797" s="471">
        <v>30.51</v>
      </c>
      <c r="J1797" s="471"/>
    </row>
    <row r="1798" spans="1:10" ht="63.75" outlineLevel="3">
      <c r="A1798" s="467" t="s">
        <v>62</v>
      </c>
      <c r="B1798" s="468" t="s">
        <v>2480</v>
      </c>
      <c r="C1798" s="469"/>
      <c r="D1798" s="468"/>
      <c r="E1798" s="470">
        <v>620.29999999999995</v>
      </c>
      <c r="F1798" s="470">
        <v>620.29999999999995</v>
      </c>
      <c r="G1798" s="470">
        <v>61.002000000000002</v>
      </c>
      <c r="H1798" s="470">
        <v>37.246499999999997</v>
      </c>
      <c r="I1798" s="471">
        <v>6</v>
      </c>
      <c r="J1798" s="471"/>
    </row>
    <row r="1799" spans="1:10" ht="63.75" outlineLevel="4">
      <c r="A1799" s="472" t="s">
        <v>62</v>
      </c>
      <c r="B1799" s="473" t="s">
        <v>2480</v>
      </c>
      <c r="C1799" s="474" t="s">
        <v>2477</v>
      </c>
      <c r="D1799" s="473" t="s">
        <v>2478</v>
      </c>
      <c r="E1799" s="475">
        <v>620.29999999999995</v>
      </c>
      <c r="F1799" s="475">
        <v>620.29999999999995</v>
      </c>
      <c r="G1799" s="475">
        <v>61.002000000000002</v>
      </c>
      <c r="H1799" s="475">
        <v>37.246499999999997</v>
      </c>
      <c r="I1799" s="471">
        <v>6</v>
      </c>
      <c r="J1799" s="471"/>
    </row>
    <row r="1800" spans="1:10" ht="76.5" outlineLevel="3">
      <c r="A1800" s="467" t="s">
        <v>1042</v>
      </c>
      <c r="B1800" s="468" t="s">
        <v>2481</v>
      </c>
      <c r="C1800" s="469"/>
      <c r="D1800" s="468"/>
      <c r="E1800" s="470">
        <v>325</v>
      </c>
      <c r="F1800" s="470">
        <v>325</v>
      </c>
      <c r="G1800" s="470">
        <v>77.239999999999995</v>
      </c>
      <c r="H1800" s="470">
        <v>77.239999999999995</v>
      </c>
      <c r="I1800" s="471">
        <v>23.77</v>
      </c>
      <c r="J1800" s="471"/>
    </row>
    <row r="1801" spans="1:10" ht="76.5" outlineLevel="4">
      <c r="A1801" s="472" t="s">
        <v>1042</v>
      </c>
      <c r="B1801" s="473" t="s">
        <v>2481</v>
      </c>
      <c r="C1801" s="474" t="s">
        <v>2477</v>
      </c>
      <c r="D1801" s="473" t="s">
        <v>2478</v>
      </c>
      <c r="E1801" s="475">
        <v>325</v>
      </c>
      <c r="F1801" s="475">
        <v>325</v>
      </c>
      <c r="G1801" s="475">
        <v>77.239999999999995</v>
      </c>
      <c r="H1801" s="475">
        <v>77.239999999999995</v>
      </c>
      <c r="I1801" s="471">
        <v>23.77</v>
      </c>
      <c r="J1801" s="471"/>
    </row>
    <row r="1802" spans="1:10" ht="51" outlineLevel="3">
      <c r="A1802" s="467" t="s">
        <v>2166</v>
      </c>
      <c r="B1802" s="468" t="s">
        <v>2482</v>
      </c>
      <c r="C1802" s="469"/>
      <c r="D1802" s="468"/>
      <c r="E1802" s="470">
        <v>50</v>
      </c>
      <c r="F1802" s="470">
        <v>50</v>
      </c>
      <c r="G1802" s="470">
        <v>14.336</v>
      </c>
      <c r="H1802" s="470">
        <v>14.336</v>
      </c>
      <c r="I1802" s="471">
        <v>28.67</v>
      </c>
      <c r="J1802" s="471"/>
    </row>
    <row r="1803" spans="1:10" ht="51" outlineLevel="4">
      <c r="A1803" s="472" t="s">
        <v>2166</v>
      </c>
      <c r="B1803" s="473" t="s">
        <v>2482</v>
      </c>
      <c r="C1803" s="474" t="s">
        <v>2477</v>
      </c>
      <c r="D1803" s="473" t="s">
        <v>2478</v>
      </c>
      <c r="E1803" s="475">
        <v>50</v>
      </c>
      <c r="F1803" s="475">
        <v>50</v>
      </c>
      <c r="G1803" s="475">
        <v>14.336</v>
      </c>
      <c r="H1803" s="475">
        <v>14.336</v>
      </c>
      <c r="I1803" s="471">
        <v>28.67</v>
      </c>
      <c r="J1803" s="471"/>
    </row>
    <row r="1804" spans="1:10" outlineLevel="1">
      <c r="A1804" s="457" t="s">
        <v>2483</v>
      </c>
      <c r="B1804" s="458" t="s">
        <v>2484</v>
      </c>
      <c r="C1804" s="459"/>
      <c r="D1804" s="458"/>
      <c r="E1804" s="460">
        <v>5140651.0322099999</v>
      </c>
      <c r="F1804" s="460">
        <v>3380470.7813300001</v>
      </c>
      <c r="G1804" s="460">
        <v>1788375.9788200001</v>
      </c>
      <c r="H1804" s="460">
        <v>1750470.5180500001</v>
      </c>
      <c r="I1804" s="461">
        <v>34.049999999999997</v>
      </c>
      <c r="J1804" s="461"/>
    </row>
    <row r="1805" spans="1:10" outlineLevel="2">
      <c r="A1805" s="462" t="s">
        <v>2483</v>
      </c>
      <c r="B1805" s="463" t="s">
        <v>2484</v>
      </c>
      <c r="C1805" s="464"/>
      <c r="D1805" s="463"/>
      <c r="E1805" s="465">
        <v>1975291.6048999999</v>
      </c>
      <c r="F1805" s="465">
        <v>215111.35402</v>
      </c>
      <c r="G1805" s="465">
        <v>189995.04027</v>
      </c>
      <c r="H1805" s="465">
        <v>186246.89249</v>
      </c>
      <c r="I1805" s="466">
        <v>9.43</v>
      </c>
      <c r="J1805" s="466"/>
    </row>
    <row r="1806" spans="1:10" ht="89.25" outlineLevel="3">
      <c r="A1806" s="467" t="s">
        <v>2485</v>
      </c>
      <c r="B1806" s="468" t="s">
        <v>2486</v>
      </c>
      <c r="C1806" s="469"/>
      <c r="D1806" s="468"/>
      <c r="E1806" s="470">
        <v>74087.832209999993</v>
      </c>
      <c r="F1806" s="470">
        <v>70870.1584</v>
      </c>
      <c r="G1806" s="470">
        <v>70203.431989999997</v>
      </c>
      <c r="H1806" s="470">
        <v>68566.036869999996</v>
      </c>
      <c r="I1806" s="471">
        <v>92.55</v>
      </c>
      <c r="J1806" s="471"/>
    </row>
    <row r="1807" spans="1:10" ht="89.25" outlineLevel="4">
      <c r="A1807" s="472" t="s">
        <v>2485</v>
      </c>
      <c r="B1807" s="473" t="s">
        <v>2486</v>
      </c>
      <c r="C1807" s="474" t="s">
        <v>2275</v>
      </c>
      <c r="D1807" s="473" t="s">
        <v>2276</v>
      </c>
      <c r="E1807" s="475">
        <v>3017.5670399999999</v>
      </c>
      <c r="F1807" s="475">
        <v>3017.5670399999999</v>
      </c>
      <c r="G1807" s="475">
        <v>3017.5670399999999</v>
      </c>
      <c r="H1807" s="475">
        <v>3017.5670399999999</v>
      </c>
      <c r="I1807" s="471">
        <v>100</v>
      </c>
      <c r="J1807" s="471"/>
    </row>
    <row r="1808" spans="1:10" ht="89.25" outlineLevel="4">
      <c r="A1808" s="472" t="s">
        <v>2485</v>
      </c>
      <c r="B1808" s="473" t="s">
        <v>2486</v>
      </c>
      <c r="C1808" s="474" t="s">
        <v>1607</v>
      </c>
      <c r="D1808" s="473" t="s">
        <v>1608</v>
      </c>
      <c r="E1808" s="475">
        <v>1155.14365</v>
      </c>
      <c r="F1808" s="475">
        <v>1155.14365</v>
      </c>
      <c r="G1808" s="475">
        <v>1155.14365</v>
      </c>
      <c r="H1808" s="475">
        <v>1155.14365</v>
      </c>
      <c r="I1808" s="471">
        <v>100</v>
      </c>
      <c r="J1808" s="471"/>
    </row>
    <row r="1809" spans="1:10" ht="89.25" outlineLevel="4">
      <c r="A1809" s="472" t="s">
        <v>2485</v>
      </c>
      <c r="B1809" s="473" t="s">
        <v>2486</v>
      </c>
      <c r="C1809" s="474" t="s">
        <v>2465</v>
      </c>
      <c r="D1809" s="473" t="s">
        <v>2466</v>
      </c>
      <c r="E1809" s="475">
        <v>256.28165000000001</v>
      </c>
      <c r="F1809" s="475">
        <v>256.28165000000001</v>
      </c>
      <c r="G1809" s="475">
        <v>256.28165000000001</v>
      </c>
      <c r="H1809" s="475">
        <v>256.28165000000001</v>
      </c>
      <c r="I1809" s="471">
        <v>100</v>
      </c>
      <c r="J1809" s="471"/>
    </row>
    <row r="1810" spans="1:10" ht="89.25" outlineLevel="4">
      <c r="A1810" s="472" t="s">
        <v>2485</v>
      </c>
      <c r="B1810" s="473" t="s">
        <v>2486</v>
      </c>
      <c r="C1810" s="474" t="s">
        <v>1859</v>
      </c>
      <c r="D1810" s="473" t="s">
        <v>1860</v>
      </c>
      <c r="E1810" s="475">
        <v>2023.3126199999999</v>
      </c>
      <c r="F1810" s="475">
        <v>2023.3126199999999</v>
      </c>
      <c r="G1810" s="475">
        <v>2023.3126199999999</v>
      </c>
      <c r="H1810" s="475">
        <v>2023.3126199999999</v>
      </c>
      <c r="I1810" s="471">
        <v>100</v>
      </c>
      <c r="J1810" s="471"/>
    </row>
    <row r="1811" spans="1:10" ht="89.25" outlineLevel="4">
      <c r="A1811" s="472" t="s">
        <v>2485</v>
      </c>
      <c r="B1811" s="473" t="s">
        <v>2486</v>
      </c>
      <c r="C1811" s="474" t="s">
        <v>730</v>
      </c>
      <c r="D1811" s="473" t="s">
        <v>731</v>
      </c>
      <c r="E1811" s="475">
        <v>2404.10664</v>
      </c>
      <c r="F1811" s="475">
        <v>2404.10664</v>
      </c>
      <c r="G1811" s="475">
        <v>2404.10664</v>
      </c>
      <c r="H1811" s="475">
        <v>2404.10664</v>
      </c>
      <c r="I1811" s="471">
        <v>100</v>
      </c>
      <c r="J1811" s="471"/>
    </row>
    <row r="1812" spans="1:10" ht="89.25" outlineLevel="4">
      <c r="A1812" s="472" t="s">
        <v>2485</v>
      </c>
      <c r="B1812" s="473" t="s">
        <v>2486</v>
      </c>
      <c r="C1812" s="474" t="s">
        <v>2477</v>
      </c>
      <c r="D1812" s="473" t="s">
        <v>2478</v>
      </c>
      <c r="E1812" s="475">
        <v>87.922120000000007</v>
      </c>
      <c r="F1812" s="475">
        <v>87.922120000000007</v>
      </c>
      <c r="G1812" s="475">
        <v>87.922120000000007</v>
      </c>
      <c r="H1812" s="475">
        <v>87.922120000000007</v>
      </c>
      <c r="I1812" s="471">
        <v>100</v>
      </c>
      <c r="J1812" s="471"/>
    </row>
    <row r="1813" spans="1:10" ht="89.25" outlineLevel="4">
      <c r="A1813" s="472" t="s">
        <v>2485</v>
      </c>
      <c r="B1813" s="473" t="s">
        <v>2486</v>
      </c>
      <c r="C1813" s="474" t="s">
        <v>2339</v>
      </c>
      <c r="D1813" s="473" t="s">
        <v>2340</v>
      </c>
      <c r="E1813" s="475">
        <v>5698.01998</v>
      </c>
      <c r="F1813" s="475">
        <v>5698.01998</v>
      </c>
      <c r="G1813" s="475">
        <v>5698.01998</v>
      </c>
      <c r="H1813" s="475">
        <v>5698.01998</v>
      </c>
      <c r="I1813" s="471">
        <v>100</v>
      </c>
      <c r="J1813" s="471"/>
    </row>
    <row r="1814" spans="1:10" ht="89.25" outlineLevel="4">
      <c r="A1814" s="472" t="s">
        <v>2485</v>
      </c>
      <c r="B1814" s="473" t="s">
        <v>2486</v>
      </c>
      <c r="C1814" s="474" t="s">
        <v>719</v>
      </c>
      <c r="D1814" s="473" t="s">
        <v>720</v>
      </c>
      <c r="E1814" s="475">
        <v>1034.33251</v>
      </c>
      <c r="F1814" s="475">
        <v>1034.33251</v>
      </c>
      <c r="G1814" s="475">
        <v>1034.33251</v>
      </c>
      <c r="H1814" s="475">
        <v>1034.33251</v>
      </c>
      <c r="I1814" s="471">
        <v>100</v>
      </c>
      <c r="J1814" s="471"/>
    </row>
    <row r="1815" spans="1:10" ht="89.25" outlineLevel="4">
      <c r="A1815" s="472" t="s">
        <v>2485</v>
      </c>
      <c r="B1815" s="473" t="s">
        <v>2486</v>
      </c>
      <c r="C1815" s="474" t="s">
        <v>1999</v>
      </c>
      <c r="D1815" s="473" t="s">
        <v>2000</v>
      </c>
      <c r="E1815" s="475">
        <v>9218.1805999999997</v>
      </c>
      <c r="F1815" s="475">
        <v>9218.1805999999997</v>
      </c>
      <c r="G1815" s="475">
        <v>9218.1805999999997</v>
      </c>
      <c r="H1815" s="475">
        <v>9218.1805999999997</v>
      </c>
      <c r="I1815" s="471">
        <v>100</v>
      </c>
      <c r="J1815" s="471"/>
    </row>
    <row r="1816" spans="1:10" ht="89.25" outlineLevel="4">
      <c r="A1816" s="472" t="s">
        <v>2485</v>
      </c>
      <c r="B1816" s="473" t="s">
        <v>2486</v>
      </c>
      <c r="C1816" s="474" t="s">
        <v>1817</v>
      </c>
      <c r="D1816" s="473" t="s">
        <v>1818</v>
      </c>
      <c r="E1816" s="475">
        <v>12165.71933</v>
      </c>
      <c r="F1816" s="475">
        <v>12165.71933</v>
      </c>
      <c r="G1816" s="475">
        <v>11567.95658</v>
      </c>
      <c r="H1816" s="475">
        <v>11567.95558</v>
      </c>
      <c r="I1816" s="471">
        <v>95.09</v>
      </c>
      <c r="J1816" s="471"/>
    </row>
    <row r="1817" spans="1:10" ht="89.25" outlineLevel="4">
      <c r="A1817" s="472" t="s">
        <v>2485</v>
      </c>
      <c r="B1817" s="473" t="s">
        <v>2486</v>
      </c>
      <c r="C1817" s="474" t="s">
        <v>911</v>
      </c>
      <c r="D1817" s="473" t="s">
        <v>912</v>
      </c>
      <c r="E1817" s="475">
        <v>1659.79618</v>
      </c>
      <c r="F1817" s="475">
        <v>1659.79618</v>
      </c>
      <c r="G1817" s="475">
        <v>1659.79618</v>
      </c>
      <c r="H1817" s="475">
        <v>1652.6952799999999</v>
      </c>
      <c r="I1817" s="471">
        <v>99.57</v>
      </c>
      <c r="J1817" s="471"/>
    </row>
    <row r="1818" spans="1:10" ht="89.25" outlineLevel="4">
      <c r="A1818" s="472" t="s">
        <v>2485</v>
      </c>
      <c r="B1818" s="473" t="s">
        <v>2486</v>
      </c>
      <c r="C1818" s="474" t="s">
        <v>726</v>
      </c>
      <c r="D1818" s="473" t="s">
        <v>727</v>
      </c>
      <c r="E1818" s="475">
        <v>2037.2064</v>
      </c>
      <c r="F1818" s="475">
        <v>2037.2064</v>
      </c>
      <c r="G1818" s="475">
        <v>2037.2064</v>
      </c>
      <c r="H1818" s="475">
        <v>2037.2064</v>
      </c>
      <c r="I1818" s="471">
        <v>100</v>
      </c>
      <c r="J1818" s="471"/>
    </row>
    <row r="1819" spans="1:10" ht="89.25" outlineLevel="4">
      <c r="A1819" s="472" t="s">
        <v>2485</v>
      </c>
      <c r="B1819" s="473" t="s">
        <v>2486</v>
      </c>
      <c r="C1819" s="474" t="s">
        <v>1716</v>
      </c>
      <c r="D1819" s="473" t="s">
        <v>1717</v>
      </c>
      <c r="E1819" s="475">
        <v>7016.3970099999997</v>
      </c>
      <c r="F1819" s="475">
        <v>7016.3970099999997</v>
      </c>
      <c r="G1819" s="475">
        <v>7016.3970099999997</v>
      </c>
      <c r="H1819" s="475">
        <v>7016.3970099999997</v>
      </c>
      <c r="I1819" s="471">
        <v>100</v>
      </c>
      <c r="J1819" s="471"/>
    </row>
    <row r="1820" spans="1:10" ht="89.25" outlineLevel="4">
      <c r="A1820" s="472" t="s">
        <v>2485</v>
      </c>
      <c r="B1820" s="473" t="s">
        <v>2486</v>
      </c>
      <c r="C1820" s="474" t="s">
        <v>818</v>
      </c>
      <c r="D1820" s="473" t="s">
        <v>819</v>
      </c>
      <c r="E1820" s="475">
        <v>5576.2786299999998</v>
      </c>
      <c r="F1820" s="475">
        <v>5576.2786299999998</v>
      </c>
      <c r="G1820" s="475">
        <v>5576.2786299999998</v>
      </c>
      <c r="H1820" s="475">
        <v>4174.2048299999997</v>
      </c>
      <c r="I1820" s="471">
        <v>74.86</v>
      </c>
      <c r="J1820" s="471"/>
    </row>
    <row r="1821" spans="1:10" ht="89.25" outlineLevel="4">
      <c r="A1821" s="472" t="s">
        <v>2485</v>
      </c>
      <c r="B1821" s="473" t="s">
        <v>2486</v>
      </c>
      <c r="C1821" s="474" t="s">
        <v>1583</v>
      </c>
      <c r="D1821" s="473" t="s">
        <v>1584</v>
      </c>
      <c r="E1821" s="475">
        <v>67.528499999999994</v>
      </c>
      <c r="F1821" s="475">
        <v>67.528499999999994</v>
      </c>
      <c r="G1821" s="475">
        <v>67.528499999999994</v>
      </c>
      <c r="H1821" s="475">
        <v>67.528499999999994</v>
      </c>
      <c r="I1821" s="471">
        <v>100</v>
      </c>
      <c r="J1821" s="471"/>
    </row>
    <row r="1822" spans="1:10" ht="89.25" outlineLevel="4">
      <c r="A1822" s="472" t="s">
        <v>2485</v>
      </c>
      <c r="B1822" s="473" t="s">
        <v>2486</v>
      </c>
      <c r="C1822" s="474" t="s">
        <v>1058</v>
      </c>
      <c r="D1822" s="473" t="s">
        <v>1059</v>
      </c>
      <c r="E1822" s="475">
        <v>8413.8968800000002</v>
      </c>
      <c r="F1822" s="475">
        <v>8413.8968800000002</v>
      </c>
      <c r="G1822" s="475">
        <v>8344.9332200000008</v>
      </c>
      <c r="H1822" s="475">
        <v>8207.3449199999995</v>
      </c>
      <c r="I1822" s="471">
        <v>97.55</v>
      </c>
      <c r="J1822" s="471"/>
    </row>
    <row r="1823" spans="1:10" ht="89.25" outlineLevel="4">
      <c r="A1823" s="472" t="s">
        <v>2485</v>
      </c>
      <c r="B1823" s="473" t="s">
        <v>2486</v>
      </c>
      <c r="C1823" s="474" t="s">
        <v>2206</v>
      </c>
      <c r="D1823" s="473" t="s">
        <v>2207</v>
      </c>
      <c r="E1823" s="475">
        <v>5805.1267500000004</v>
      </c>
      <c r="F1823" s="475">
        <v>2587.4529400000001</v>
      </c>
      <c r="G1823" s="475">
        <v>2587.4529400000001</v>
      </c>
      <c r="H1823" s="475">
        <v>2587.4529400000001</v>
      </c>
      <c r="I1823" s="471">
        <v>44.57</v>
      </c>
      <c r="J1823" s="471"/>
    </row>
    <row r="1824" spans="1:10" ht="89.25" outlineLevel="4">
      <c r="A1824" s="472" t="s">
        <v>2485</v>
      </c>
      <c r="B1824" s="473" t="s">
        <v>2486</v>
      </c>
      <c r="C1824" s="474" t="s">
        <v>2023</v>
      </c>
      <c r="D1824" s="473" t="s">
        <v>2024</v>
      </c>
      <c r="E1824" s="475">
        <v>566.39606000000003</v>
      </c>
      <c r="F1824" s="475">
        <v>566.39606000000003</v>
      </c>
      <c r="G1824" s="475">
        <v>566.39606000000003</v>
      </c>
      <c r="H1824" s="475">
        <v>566.39606000000003</v>
      </c>
      <c r="I1824" s="471">
        <v>100</v>
      </c>
      <c r="J1824" s="471"/>
    </row>
    <row r="1825" spans="1:10" ht="89.25" outlineLevel="4">
      <c r="A1825" s="472" t="s">
        <v>2485</v>
      </c>
      <c r="B1825" s="473" t="s">
        <v>2486</v>
      </c>
      <c r="C1825" s="474" t="s">
        <v>1597</v>
      </c>
      <c r="D1825" s="473" t="s">
        <v>1598</v>
      </c>
      <c r="E1825" s="475">
        <v>281.02012999999999</v>
      </c>
      <c r="F1825" s="475">
        <v>281.02012999999999</v>
      </c>
      <c r="G1825" s="475">
        <v>281.02012999999999</v>
      </c>
      <c r="H1825" s="475">
        <v>281.02012999999999</v>
      </c>
      <c r="I1825" s="471">
        <v>100</v>
      </c>
      <c r="J1825" s="471"/>
    </row>
    <row r="1826" spans="1:10" ht="89.25" outlineLevel="4">
      <c r="A1826" s="472" t="s">
        <v>2485</v>
      </c>
      <c r="B1826" s="473" t="s">
        <v>2486</v>
      </c>
      <c r="C1826" s="474" t="s">
        <v>2139</v>
      </c>
      <c r="D1826" s="473" t="s">
        <v>2140</v>
      </c>
      <c r="E1826" s="475">
        <v>4308.1216199999999</v>
      </c>
      <c r="F1826" s="475">
        <v>4308.1216199999999</v>
      </c>
      <c r="G1826" s="475">
        <v>4308.1216199999999</v>
      </c>
      <c r="H1826" s="475">
        <v>4217.4904999999999</v>
      </c>
      <c r="I1826" s="471">
        <v>97.9</v>
      </c>
      <c r="J1826" s="471"/>
    </row>
    <row r="1827" spans="1:10" ht="89.25" outlineLevel="4">
      <c r="A1827" s="472" t="s">
        <v>2485</v>
      </c>
      <c r="B1827" s="473" t="s">
        <v>2486</v>
      </c>
      <c r="C1827" s="474" t="s">
        <v>2434</v>
      </c>
      <c r="D1827" s="473" t="s">
        <v>2435</v>
      </c>
      <c r="E1827" s="475">
        <v>1135.27108</v>
      </c>
      <c r="F1827" s="475">
        <v>1135.27108</v>
      </c>
      <c r="G1827" s="475">
        <v>1135.27108</v>
      </c>
      <c r="H1827" s="475">
        <v>1135.27108</v>
      </c>
      <c r="I1827" s="471">
        <v>100</v>
      </c>
      <c r="J1827" s="471"/>
    </row>
    <row r="1828" spans="1:10" ht="89.25" outlineLevel="4">
      <c r="A1828" s="472" t="s">
        <v>2485</v>
      </c>
      <c r="B1828" s="473" t="s">
        <v>2486</v>
      </c>
      <c r="C1828" s="474" t="s">
        <v>2445</v>
      </c>
      <c r="D1828" s="473" t="s">
        <v>2446</v>
      </c>
      <c r="E1828" s="475">
        <v>160.20683</v>
      </c>
      <c r="F1828" s="475">
        <v>160.20683</v>
      </c>
      <c r="G1828" s="475">
        <v>160.20683</v>
      </c>
      <c r="H1828" s="475">
        <v>160.20683</v>
      </c>
      <c r="I1828" s="471">
        <v>100</v>
      </c>
      <c r="J1828" s="471"/>
    </row>
    <row r="1829" spans="1:10" ht="25.5" outlineLevel="3">
      <c r="A1829" s="467" t="s">
        <v>2487</v>
      </c>
      <c r="B1829" s="468" t="s">
        <v>2488</v>
      </c>
      <c r="C1829" s="469"/>
      <c r="D1829" s="468"/>
      <c r="E1829" s="470">
        <v>1706140.97269</v>
      </c>
      <c r="F1829" s="470">
        <v>3698.63267</v>
      </c>
      <c r="G1829" s="470">
        <v>3698.63267</v>
      </c>
      <c r="H1829" s="470">
        <v>3698.63267</v>
      </c>
      <c r="I1829" s="471">
        <v>0.22</v>
      </c>
      <c r="J1829" s="471"/>
    </row>
    <row r="1830" spans="1:10" ht="25.5" outlineLevel="4">
      <c r="A1830" s="472" t="s">
        <v>2487</v>
      </c>
      <c r="B1830" s="473" t="s">
        <v>2488</v>
      </c>
      <c r="C1830" s="474" t="s">
        <v>719</v>
      </c>
      <c r="D1830" s="473" t="s">
        <v>720</v>
      </c>
      <c r="E1830" s="475">
        <v>3698.63267</v>
      </c>
      <c r="F1830" s="475">
        <v>3698.63267</v>
      </c>
      <c r="G1830" s="475">
        <v>3698.63267</v>
      </c>
      <c r="H1830" s="475">
        <v>3698.63267</v>
      </c>
      <c r="I1830" s="471">
        <v>100</v>
      </c>
      <c r="J1830" s="471"/>
    </row>
    <row r="1831" spans="1:10" ht="25.5" outlineLevel="4">
      <c r="A1831" s="472" t="s">
        <v>2487</v>
      </c>
      <c r="B1831" s="473" t="s">
        <v>2488</v>
      </c>
      <c r="C1831" s="474" t="s">
        <v>2206</v>
      </c>
      <c r="D1831" s="473" t="s">
        <v>2207</v>
      </c>
      <c r="E1831" s="475">
        <v>1702442.34002</v>
      </c>
      <c r="F1831" s="475">
        <v>0</v>
      </c>
      <c r="G1831" s="475">
        <v>0</v>
      </c>
      <c r="H1831" s="475">
        <v>0</v>
      </c>
      <c r="I1831" s="471">
        <v>0</v>
      </c>
      <c r="J1831" s="471"/>
    </row>
    <row r="1832" spans="1:10" outlineLevel="3">
      <c r="A1832" s="467" t="s">
        <v>2489</v>
      </c>
      <c r="B1832" s="468" t="s">
        <v>2490</v>
      </c>
      <c r="C1832" s="469"/>
      <c r="D1832" s="468"/>
      <c r="E1832" s="470">
        <v>147715</v>
      </c>
      <c r="F1832" s="470">
        <v>93194.762950000004</v>
      </c>
      <c r="G1832" s="470">
        <v>93194.762950000004</v>
      </c>
      <c r="H1832" s="470">
        <v>93194.762950000004</v>
      </c>
      <c r="I1832" s="471">
        <v>63.09</v>
      </c>
      <c r="J1832" s="471"/>
    </row>
    <row r="1833" spans="1:10" ht="25.5" outlineLevel="4">
      <c r="A1833" s="472" t="s">
        <v>2489</v>
      </c>
      <c r="B1833" s="473" t="s">
        <v>2490</v>
      </c>
      <c r="C1833" s="474" t="s">
        <v>1583</v>
      </c>
      <c r="D1833" s="473" t="s">
        <v>1584</v>
      </c>
      <c r="E1833" s="475">
        <v>25786.1</v>
      </c>
      <c r="F1833" s="475">
        <v>25786.1</v>
      </c>
      <c r="G1833" s="475">
        <v>25786.1</v>
      </c>
      <c r="H1833" s="475">
        <v>25786.1</v>
      </c>
      <c r="I1833" s="471">
        <v>100</v>
      </c>
      <c r="J1833" s="471"/>
    </row>
    <row r="1834" spans="1:10" ht="25.5" outlineLevel="4">
      <c r="A1834" s="472" t="s">
        <v>2489</v>
      </c>
      <c r="B1834" s="473" t="s">
        <v>2490</v>
      </c>
      <c r="C1834" s="474" t="s">
        <v>2206</v>
      </c>
      <c r="D1834" s="473" t="s">
        <v>2207</v>
      </c>
      <c r="E1834" s="475">
        <v>121928.9</v>
      </c>
      <c r="F1834" s="475">
        <v>67408.662949999998</v>
      </c>
      <c r="G1834" s="475">
        <v>67408.662949999998</v>
      </c>
      <c r="H1834" s="475">
        <v>67408.662949999998</v>
      </c>
      <c r="I1834" s="471">
        <v>55.29</v>
      </c>
      <c r="J1834" s="471"/>
    </row>
    <row r="1835" spans="1:10" ht="38.25" outlineLevel="3">
      <c r="A1835" s="467" t="s">
        <v>2491</v>
      </c>
      <c r="B1835" s="468" t="s">
        <v>2492</v>
      </c>
      <c r="C1835" s="469"/>
      <c r="D1835" s="468"/>
      <c r="E1835" s="470">
        <v>19147.8</v>
      </c>
      <c r="F1835" s="470">
        <v>19147.8</v>
      </c>
      <c r="G1835" s="470">
        <v>10003.10361</v>
      </c>
      <c r="H1835" s="470">
        <v>7892.35095</v>
      </c>
      <c r="I1835" s="471">
        <v>41.22</v>
      </c>
      <c r="J1835" s="471"/>
    </row>
    <row r="1836" spans="1:10" ht="38.25" outlineLevel="4">
      <c r="A1836" s="472" t="s">
        <v>2491</v>
      </c>
      <c r="B1836" s="473" t="s">
        <v>2492</v>
      </c>
      <c r="C1836" s="474" t="s">
        <v>730</v>
      </c>
      <c r="D1836" s="473" t="s">
        <v>731</v>
      </c>
      <c r="E1836" s="475">
        <v>19147.8</v>
      </c>
      <c r="F1836" s="475">
        <v>19147.8</v>
      </c>
      <c r="G1836" s="475">
        <v>10003.10361</v>
      </c>
      <c r="H1836" s="475">
        <v>7892.35095</v>
      </c>
      <c r="I1836" s="471">
        <v>41.22</v>
      </c>
      <c r="J1836" s="476" t="s">
        <v>10</v>
      </c>
    </row>
    <row r="1837" spans="1:10" ht="38.25" outlineLevel="3">
      <c r="A1837" s="467" t="s">
        <v>2493</v>
      </c>
      <c r="B1837" s="468" t="s">
        <v>2494</v>
      </c>
      <c r="C1837" s="469"/>
      <c r="D1837" s="468"/>
      <c r="E1837" s="470">
        <v>14350</v>
      </c>
      <c r="F1837" s="470">
        <v>14350</v>
      </c>
      <c r="G1837" s="470">
        <v>8454.4786999999997</v>
      </c>
      <c r="H1837" s="470">
        <v>8454.4786999999997</v>
      </c>
      <c r="I1837" s="471">
        <v>58.92</v>
      </c>
      <c r="J1837" s="471"/>
    </row>
    <row r="1838" spans="1:10" ht="38.25" outlineLevel="4">
      <c r="A1838" s="472" t="s">
        <v>2493</v>
      </c>
      <c r="B1838" s="473" t="s">
        <v>2494</v>
      </c>
      <c r="C1838" s="474" t="s">
        <v>2275</v>
      </c>
      <c r="D1838" s="473" t="s">
        <v>2276</v>
      </c>
      <c r="E1838" s="475">
        <v>14350</v>
      </c>
      <c r="F1838" s="475">
        <v>14350</v>
      </c>
      <c r="G1838" s="475">
        <v>8454.4786999999997</v>
      </c>
      <c r="H1838" s="475">
        <v>8454.4786999999997</v>
      </c>
      <c r="I1838" s="471">
        <v>58.92</v>
      </c>
      <c r="J1838" s="476" t="s">
        <v>10</v>
      </c>
    </row>
    <row r="1839" spans="1:10" ht="38.25" outlineLevel="3">
      <c r="A1839" s="467" t="s">
        <v>2495</v>
      </c>
      <c r="B1839" s="468" t="s">
        <v>2496</v>
      </c>
      <c r="C1839" s="469"/>
      <c r="D1839" s="468"/>
      <c r="E1839" s="470">
        <v>13850</v>
      </c>
      <c r="F1839" s="470">
        <v>13850</v>
      </c>
      <c r="G1839" s="470">
        <v>4440.6303500000004</v>
      </c>
      <c r="H1839" s="470">
        <v>4440.6303500000004</v>
      </c>
      <c r="I1839" s="471">
        <v>32.06</v>
      </c>
      <c r="J1839" s="471"/>
    </row>
    <row r="1840" spans="1:10" ht="38.25" outlineLevel="4">
      <c r="A1840" s="472" t="s">
        <v>2495</v>
      </c>
      <c r="B1840" s="473" t="s">
        <v>2496</v>
      </c>
      <c r="C1840" s="474" t="s">
        <v>2275</v>
      </c>
      <c r="D1840" s="473" t="s">
        <v>2276</v>
      </c>
      <c r="E1840" s="475">
        <v>13850</v>
      </c>
      <c r="F1840" s="475">
        <v>13850</v>
      </c>
      <c r="G1840" s="475">
        <v>4440.6303500000004</v>
      </c>
      <c r="H1840" s="475">
        <v>4440.6303500000004</v>
      </c>
      <c r="I1840" s="471">
        <v>32.06</v>
      </c>
      <c r="J1840" s="476" t="s">
        <v>10</v>
      </c>
    </row>
    <row r="1841" spans="1:10" ht="63.75" outlineLevel="2">
      <c r="A1841" s="462" t="s">
        <v>2497</v>
      </c>
      <c r="B1841" s="463" t="s">
        <v>2498</v>
      </c>
      <c r="C1841" s="464"/>
      <c r="D1841" s="463"/>
      <c r="E1841" s="465">
        <v>114331.42326</v>
      </c>
      <c r="F1841" s="465">
        <v>114331.42326</v>
      </c>
      <c r="G1841" s="465">
        <v>44483.32344</v>
      </c>
      <c r="H1841" s="465">
        <v>42028.772400000002</v>
      </c>
      <c r="I1841" s="466">
        <v>36.76</v>
      </c>
      <c r="J1841" s="466"/>
    </row>
    <row r="1842" spans="1:10" ht="25.5" outlineLevel="3">
      <c r="A1842" s="467" t="s">
        <v>2487</v>
      </c>
      <c r="B1842" s="468" t="s">
        <v>2499</v>
      </c>
      <c r="C1842" s="469"/>
      <c r="D1842" s="468"/>
      <c r="E1842" s="470">
        <v>68338.223259999999</v>
      </c>
      <c r="F1842" s="470">
        <v>68338.223259999999</v>
      </c>
      <c r="G1842" s="470">
        <v>16440.983039999999</v>
      </c>
      <c r="H1842" s="470">
        <v>14192.432000000001</v>
      </c>
      <c r="I1842" s="471">
        <v>20.77</v>
      </c>
      <c r="J1842" s="471"/>
    </row>
    <row r="1843" spans="1:10" ht="25.5" outlineLevel="4">
      <c r="A1843" s="472" t="s">
        <v>2487</v>
      </c>
      <c r="B1843" s="473" t="s">
        <v>2499</v>
      </c>
      <c r="C1843" s="474" t="s">
        <v>2465</v>
      </c>
      <c r="D1843" s="473" t="s">
        <v>2466</v>
      </c>
      <c r="E1843" s="475">
        <v>17113.18304</v>
      </c>
      <c r="F1843" s="475">
        <v>17113.18304</v>
      </c>
      <c r="G1843" s="475">
        <v>16193.18304</v>
      </c>
      <c r="H1843" s="475">
        <v>13944.632</v>
      </c>
      <c r="I1843" s="471">
        <v>81.48</v>
      </c>
      <c r="J1843" s="471"/>
    </row>
    <row r="1844" spans="1:10" ht="25.5" outlineLevel="4">
      <c r="A1844" s="472" t="s">
        <v>2487</v>
      </c>
      <c r="B1844" s="473" t="s">
        <v>2499</v>
      </c>
      <c r="C1844" s="474" t="s">
        <v>2339</v>
      </c>
      <c r="D1844" s="473" t="s">
        <v>2340</v>
      </c>
      <c r="E1844" s="475">
        <v>5231.7912200000001</v>
      </c>
      <c r="F1844" s="475">
        <v>5231.7912200000001</v>
      </c>
      <c r="G1844" s="475">
        <v>247.8</v>
      </c>
      <c r="H1844" s="475">
        <v>247.8</v>
      </c>
      <c r="I1844" s="471">
        <v>4.74</v>
      </c>
      <c r="J1844" s="471"/>
    </row>
    <row r="1845" spans="1:10" ht="38.25" outlineLevel="4">
      <c r="A1845" s="472" t="s">
        <v>2487</v>
      </c>
      <c r="B1845" s="473" t="s">
        <v>2499</v>
      </c>
      <c r="C1845" s="474" t="s">
        <v>1817</v>
      </c>
      <c r="D1845" s="473" t="s">
        <v>1818</v>
      </c>
      <c r="E1845" s="475">
        <v>45993.249000000003</v>
      </c>
      <c r="F1845" s="475">
        <v>45993.249000000003</v>
      </c>
      <c r="G1845" s="475">
        <v>0</v>
      </c>
      <c r="H1845" s="475">
        <v>0</v>
      </c>
      <c r="I1845" s="471">
        <v>0</v>
      </c>
      <c r="J1845" s="471"/>
    </row>
    <row r="1846" spans="1:10" ht="89.25" outlineLevel="3">
      <c r="A1846" s="467" t="s">
        <v>2500</v>
      </c>
      <c r="B1846" s="468" t="s">
        <v>2501</v>
      </c>
      <c r="C1846" s="469"/>
      <c r="D1846" s="468"/>
      <c r="E1846" s="470">
        <v>45993.2</v>
      </c>
      <c r="F1846" s="470">
        <v>45993.2</v>
      </c>
      <c r="G1846" s="470">
        <v>28042.340400000001</v>
      </c>
      <c r="H1846" s="470">
        <v>27836.340400000001</v>
      </c>
      <c r="I1846" s="471">
        <v>60.52</v>
      </c>
      <c r="J1846" s="471"/>
    </row>
    <row r="1847" spans="1:10" ht="89.25" outlineLevel="4">
      <c r="A1847" s="472" t="s">
        <v>2500</v>
      </c>
      <c r="B1847" s="473" t="s">
        <v>2501</v>
      </c>
      <c r="C1847" s="474" t="s">
        <v>1817</v>
      </c>
      <c r="D1847" s="473" t="s">
        <v>1818</v>
      </c>
      <c r="E1847" s="475">
        <v>45993.2</v>
      </c>
      <c r="F1847" s="475">
        <v>45993.2</v>
      </c>
      <c r="G1847" s="475">
        <v>28042.340400000001</v>
      </c>
      <c r="H1847" s="475">
        <v>27836.340400000001</v>
      </c>
      <c r="I1847" s="471">
        <v>60.52</v>
      </c>
      <c r="J1847" s="476" t="s">
        <v>10</v>
      </c>
    </row>
    <row r="1848" spans="1:10" ht="76.5" outlineLevel="2">
      <c r="A1848" s="462" t="s">
        <v>2502</v>
      </c>
      <c r="B1848" s="463" t="s">
        <v>2503</v>
      </c>
      <c r="C1848" s="464"/>
      <c r="D1848" s="463"/>
      <c r="E1848" s="465">
        <v>3051028.0040500001</v>
      </c>
      <c r="F1848" s="465">
        <v>3051028.0040500001</v>
      </c>
      <c r="G1848" s="465">
        <v>1553897.6151099999</v>
      </c>
      <c r="H1848" s="465">
        <v>1522194.8531599999</v>
      </c>
      <c r="I1848" s="466">
        <v>49.89</v>
      </c>
      <c r="J1848" s="466"/>
    </row>
    <row r="1849" spans="1:10" ht="63.75" outlineLevel="3">
      <c r="A1849" s="467" t="s">
        <v>2504</v>
      </c>
      <c r="B1849" s="468" t="s">
        <v>2505</v>
      </c>
      <c r="C1849" s="469"/>
      <c r="D1849" s="468"/>
      <c r="E1849" s="470">
        <v>286672</v>
      </c>
      <c r="F1849" s="470">
        <v>286672</v>
      </c>
      <c r="G1849" s="470">
        <v>171844.49056000001</v>
      </c>
      <c r="H1849" s="470">
        <v>171742.09487</v>
      </c>
      <c r="I1849" s="471">
        <v>59.91</v>
      </c>
      <c r="J1849" s="471"/>
    </row>
    <row r="1850" spans="1:10" ht="63.75" outlineLevel="4">
      <c r="A1850" s="472" t="s">
        <v>2504</v>
      </c>
      <c r="B1850" s="473" t="s">
        <v>2505</v>
      </c>
      <c r="C1850" s="474" t="s">
        <v>719</v>
      </c>
      <c r="D1850" s="473" t="s">
        <v>720</v>
      </c>
      <c r="E1850" s="475">
        <v>272089.59999999998</v>
      </c>
      <c r="F1850" s="475">
        <v>272089.59999999998</v>
      </c>
      <c r="G1850" s="475">
        <v>160126.49056000001</v>
      </c>
      <c r="H1850" s="475">
        <v>160107.05707000001</v>
      </c>
      <c r="I1850" s="471">
        <v>58.84</v>
      </c>
      <c r="J1850" s="471"/>
    </row>
    <row r="1851" spans="1:10" ht="63.75" outlineLevel="4">
      <c r="A1851" s="472" t="s">
        <v>2504</v>
      </c>
      <c r="B1851" s="473" t="s">
        <v>2505</v>
      </c>
      <c r="C1851" s="474" t="s">
        <v>1058</v>
      </c>
      <c r="D1851" s="473" t="s">
        <v>1059</v>
      </c>
      <c r="E1851" s="475">
        <v>14582.4</v>
      </c>
      <c r="F1851" s="475">
        <v>14582.4</v>
      </c>
      <c r="G1851" s="475">
        <v>11718</v>
      </c>
      <c r="H1851" s="475">
        <v>11635.0378</v>
      </c>
      <c r="I1851" s="471">
        <v>79.790000000000006</v>
      </c>
      <c r="J1851" s="471"/>
    </row>
    <row r="1852" spans="1:10" ht="63.75" outlineLevel="3">
      <c r="A1852" s="467" t="s">
        <v>2506</v>
      </c>
      <c r="B1852" s="468" t="s">
        <v>2507</v>
      </c>
      <c r="C1852" s="469"/>
      <c r="D1852" s="468"/>
      <c r="E1852" s="470">
        <v>42847.591999999997</v>
      </c>
      <c r="F1852" s="470">
        <v>42847.591999999997</v>
      </c>
      <c r="G1852" s="470">
        <v>42846.591999999997</v>
      </c>
      <c r="H1852" s="470">
        <v>42751.027999999998</v>
      </c>
      <c r="I1852" s="471">
        <v>99.77</v>
      </c>
      <c r="J1852" s="471"/>
    </row>
    <row r="1853" spans="1:10" ht="63.75" outlineLevel="4">
      <c r="A1853" s="472" t="s">
        <v>2506</v>
      </c>
      <c r="B1853" s="473" t="s">
        <v>2507</v>
      </c>
      <c r="C1853" s="474" t="s">
        <v>1058</v>
      </c>
      <c r="D1853" s="473" t="s">
        <v>1059</v>
      </c>
      <c r="E1853" s="475">
        <v>42847.591999999997</v>
      </c>
      <c r="F1853" s="475">
        <v>42847.591999999997</v>
      </c>
      <c r="G1853" s="475">
        <v>42846.591999999997</v>
      </c>
      <c r="H1853" s="475">
        <v>42751.027999999998</v>
      </c>
      <c r="I1853" s="471">
        <v>99.77</v>
      </c>
      <c r="J1853" s="471"/>
    </row>
    <row r="1854" spans="1:10" ht="76.5" outlineLevel="3">
      <c r="A1854" s="467" t="s">
        <v>2508</v>
      </c>
      <c r="B1854" s="468" t="s">
        <v>2509</v>
      </c>
      <c r="C1854" s="469"/>
      <c r="D1854" s="468"/>
      <c r="E1854" s="470">
        <v>119190.723</v>
      </c>
      <c r="F1854" s="470">
        <v>119190.723</v>
      </c>
      <c r="G1854" s="470">
        <v>96200.017500000002</v>
      </c>
      <c r="H1854" s="470">
        <v>94780.757299999997</v>
      </c>
      <c r="I1854" s="471">
        <v>79.52</v>
      </c>
      <c r="J1854" s="471"/>
    </row>
    <row r="1855" spans="1:10" ht="76.5" outlineLevel="4">
      <c r="A1855" s="472" t="s">
        <v>2508</v>
      </c>
      <c r="B1855" s="473" t="s">
        <v>2509</v>
      </c>
      <c r="C1855" s="474" t="s">
        <v>719</v>
      </c>
      <c r="D1855" s="473" t="s">
        <v>720</v>
      </c>
      <c r="E1855" s="475">
        <v>31952.838</v>
      </c>
      <c r="F1855" s="475">
        <v>31952.838</v>
      </c>
      <c r="G1855" s="475">
        <v>22801.717499999999</v>
      </c>
      <c r="H1855" s="475">
        <v>22522.457299999998</v>
      </c>
      <c r="I1855" s="471">
        <v>70.489999999999995</v>
      </c>
      <c r="J1855" s="471"/>
    </row>
    <row r="1856" spans="1:10" ht="76.5" outlineLevel="4">
      <c r="A1856" s="472" t="s">
        <v>2508</v>
      </c>
      <c r="B1856" s="473" t="s">
        <v>2509</v>
      </c>
      <c r="C1856" s="474" t="s">
        <v>1058</v>
      </c>
      <c r="D1856" s="473" t="s">
        <v>1059</v>
      </c>
      <c r="E1856" s="475">
        <v>84860.800000000003</v>
      </c>
      <c r="F1856" s="475">
        <v>84860.800000000003</v>
      </c>
      <c r="G1856" s="475">
        <v>71660.800000000003</v>
      </c>
      <c r="H1856" s="475">
        <v>70670.8</v>
      </c>
      <c r="I1856" s="471">
        <v>83.28</v>
      </c>
      <c r="J1856" s="471"/>
    </row>
    <row r="1857" spans="1:10" ht="76.5" outlineLevel="4">
      <c r="A1857" s="472" t="s">
        <v>2508</v>
      </c>
      <c r="B1857" s="473" t="s">
        <v>2509</v>
      </c>
      <c r="C1857" s="474" t="s">
        <v>2023</v>
      </c>
      <c r="D1857" s="473" t="s">
        <v>2024</v>
      </c>
      <c r="E1857" s="475">
        <v>2377.085</v>
      </c>
      <c r="F1857" s="475">
        <v>2377.085</v>
      </c>
      <c r="G1857" s="475">
        <v>1737.5</v>
      </c>
      <c r="H1857" s="475">
        <v>1587.5</v>
      </c>
      <c r="I1857" s="471">
        <v>66.78</v>
      </c>
      <c r="J1857" s="471"/>
    </row>
    <row r="1858" spans="1:10" ht="102" outlineLevel="3">
      <c r="A1858" s="467" t="s">
        <v>2510</v>
      </c>
      <c r="B1858" s="468" t="s">
        <v>2511</v>
      </c>
      <c r="C1858" s="469"/>
      <c r="D1858" s="468"/>
      <c r="E1858" s="470">
        <v>16242.95</v>
      </c>
      <c r="F1858" s="470">
        <v>16242.95</v>
      </c>
      <c r="G1858" s="470">
        <v>15935.31092</v>
      </c>
      <c r="H1858" s="470">
        <v>15700.58258</v>
      </c>
      <c r="I1858" s="471">
        <v>96.66</v>
      </c>
      <c r="J1858" s="471"/>
    </row>
    <row r="1859" spans="1:10" ht="102" outlineLevel="4">
      <c r="A1859" s="472" t="s">
        <v>2510</v>
      </c>
      <c r="B1859" s="473" t="s">
        <v>2511</v>
      </c>
      <c r="C1859" s="474" t="s">
        <v>719</v>
      </c>
      <c r="D1859" s="473" t="s">
        <v>720</v>
      </c>
      <c r="E1859" s="475">
        <v>16242.95</v>
      </c>
      <c r="F1859" s="475">
        <v>16242.95</v>
      </c>
      <c r="G1859" s="475">
        <v>15935.31092</v>
      </c>
      <c r="H1859" s="475">
        <v>15700.58258</v>
      </c>
      <c r="I1859" s="471">
        <v>96.66</v>
      </c>
      <c r="J1859" s="471"/>
    </row>
    <row r="1860" spans="1:10" ht="76.5" outlineLevel="3">
      <c r="A1860" s="467" t="s">
        <v>2512</v>
      </c>
      <c r="B1860" s="468" t="s">
        <v>2513</v>
      </c>
      <c r="C1860" s="469"/>
      <c r="D1860" s="468"/>
      <c r="E1860" s="470">
        <v>8152.473</v>
      </c>
      <c r="F1860" s="470">
        <v>8152.473</v>
      </c>
      <c r="G1860" s="470">
        <v>8152.473</v>
      </c>
      <c r="H1860" s="470">
        <v>8093.6923200000001</v>
      </c>
      <c r="I1860" s="471">
        <v>99.28</v>
      </c>
      <c r="J1860" s="471"/>
    </row>
    <row r="1861" spans="1:10" ht="76.5" outlineLevel="4">
      <c r="A1861" s="472" t="s">
        <v>2512</v>
      </c>
      <c r="B1861" s="473" t="s">
        <v>2513</v>
      </c>
      <c r="C1861" s="474" t="s">
        <v>719</v>
      </c>
      <c r="D1861" s="473" t="s">
        <v>720</v>
      </c>
      <c r="E1861" s="475">
        <v>8152.473</v>
      </c>
      <c r="F1861" s="475">
        <v>8152.473</v>
      </c>
      <c r="G1861" s="475">
        <v>8152.473</v>
      </c>
      <c r="H1861" s="475">
        <v>8093.6923200000001</v>
      </c>
      <c r="I1861" s="471">
        <v>99.28</v>
      </c>
      <c r="J1861" s="471"/>
    </row>
    <row r="1862" spans="1:10" ht="165.75" outlineLevel="3">
      <c r="A1862" s="467" t="s">
        <v>2514</v>
      </c>
      <c r="B1862" s="468" t="s">
        <v>2515</v>
      </c>
      <c r="C1862" s="469"/>
      <c r="D1862" s="468"/>
      <c r="E1862" s="470">
        <v>3497.9</v>
      </c>
      <c r="F1862" s="470">
        <v>3497.9</v>
      </c>
      <c r="G1862" s="470">
        <v>3497.9</v>
      </c>
      <c r="H1862" s="470">
        <v>2879.2227699999999</v>
      </c>
      <c r="I1862" s="471">
        <v>82.31</v>
      </c>
      <c r="J1862" s="471"/>
    </row>
    <row r="1863" spans="1:10" ht="165.75" outlineLevel="4">
      <c r="A1863" s="472" t="s">
        <v>2514</v>
      </c>
      <c r="B1863" s="473" t="s">
        <v>2515</v>
      </c>
      <c r="C1863" s="474" t="s">
        <v>1058</v>
      </c>
      <c r="D1863" s="473" t="s">
        <v>1059</v>
      </c>
      <c r="E1863" s="475">
        <v>3497.9</v>
      </c>
      <c r="F1863" s="475">
        <v>3497.9</v>
      </c>
      <c r="G1863" s="475">
        <v>3497.9</v>
      </c>
      <c r="H1863" s="475">
        <v>2879.2227699999999</v>
      </c>
      <c r="I1863" s="471">
        <v>82.31</v>
      </c>
      <c r="J1863" s="471"/>
    </row>
    <row r="1864" spans="1:10" ht="89.25" outlineLevel="3">
      <c r="A1864" s="467" t="s">
        <v>2516</v>
      </c>
      <c r="B1864" s="468" t="s">
        <v>2517</v>
      </c>
      <c r="C1864" s="469"/>
      <c r="D1864" s="468"/>
      <c r="E1864" s="470">
        <v>17011.37198</v>
      </c>
      <c r="F1864" s="470">
        <v>17011.37198</v>
      </c>
      <c r="G1864" s="470">
        <v>13298.725</v>
      </c>
      <c r="H1864" s="470">
        <v>13298.725</v>
      </c>
      <c r="I1864" s="471">
        <v>78.180000000000007</v>
      </c>
      <c r="J1864" s="471"/>
    </row>
    <row r="1865" spans="1:10" ht="89.25" outlineLevel="4">
      <c r="A1865" s="472" t="s">
        <v>2516</v>
      </c>
      <c r="B1865" s="473" t="s">
        <v>2517</v>
      </c>
      <c r="C1865" s="474" t="s">
        <v>726</v>
      </c>
      <c r="D1865" s="473" t="s">
        <v>727</v>
      </c>
      <c r="E1865" s="475">
        <v>17011.37198</v>
      </c>
      <c r="F1865" s="475">
        <v>17011.37198</v>
      </c>
      <c r="G1865" s="475">
        <v>13298.725</v>
      </c>
      <c r="H1865" s="475">
        <v>13298.725</v>
      </c>
      <c r="I1865" s="471">
        <v>78.180000000000007</v>
      </c>
      <c r="J1865" s="471"/>
    </row>
    <row r="1866" spans="1:10" ht="89.25" outlineLevel="3">
      <c r="A1866" s="467" t="s">
        <v>2518</v>
      </c>
      <c r="B1866" s="468" t="s">
        <v>2519</v>
      </c>
      <c r="C1866" s="469"/>
      <c r="D1866" s="468"/>
      <c r="E1866" s="470">
        <v>19668.07807</v>
      </c>
      <c r="F1866" s="470">
        <v>19668.07807</v>
      </c>
      <c r="G1866" s="470">
        <v>0</v>
      </c>
      <c r="H1866" s="470">
        <v>0</v>
      </c>
      <c r="I1866" s="471">
        <v>0</v>
      </c>
      <c r="J1866" s="471"/>
    </row>
    <row r="1867" spans="1:10" ht="89.25" outlineLevel="4">
      <c r="A1867" s="472" t="s">
        <v>2518</v>
      </c>
      <c r="B1867" s="473" t="s">
        <v>2519</v>
      </c>
      <c r="C1867" s="474" t="s">
        <v>726</v>
      </c>
      <c r="D1867" s="473" t="s">
        <v>727</v>
      </c>
      <c r="E1867" s="475">
        <v>19668.07807</v>
      </c>
      <c r="F1867" s="475">
        <v>19668.07807</v>
      </c>
      <c r="G1867" s="475">
        <v>0</v>
      </c>
      <c r="H1867" s="475">
        <v>0</v>
      </c>
      <c r="I1867" s="471">
        <v>0</v>
      </c>
      <c r="J1867" s="471"/>
    </row>
    <row r="1868" spans="1:10" ht="63.75" outlineLevel="3">
      <c r="A1868" s="467" t="s">
        <v>2520</v>
      </c>
      <c r="B1868" s="468" t="s">
        <v>2521</v>
      </c>
      <c r="C1868" s="469"/>
      <c r="D1868" s="468"/>
      <c r="E1868" s="470">
        <v>4020</v>
      </c>
      <c r="F1868" s="470">
        <v>4020</v>
      </c>
      <c r="G1868" s="470">
        <v>1862</v>
      </c>
      <c r="H1868" s="470">
        <v>1862</v>
      </c>
      <c r="I1868" s="471">
        <v>46.32</v>
      </c>
      <c r="J1868" s="471"/>
    </row>
    <row r="1869" spans="1:10" ht="63.75" outlineLevel="4">
      <c r="A1869" s="472" t="s">
        <v>2520</v>
      </c>
      <c r="B1869" s="473" t="s">
        <v>2521</v>
      </c>
      <c r="C1869" s="474" t="s">
        <v>719</v>
      </c>
      <c r="D1869" s="473" t="s">
        <v>720</v>
      </c>
      <c r="E1869" s="475">
        <v>4020</v>
      </c>
      <c r="F1869" s="475">
        <v>4020</v>
      </c>
      <c r="G1869" s="475">
        <v>1862</v>
      </c>
      <c r="H1869" s="475">
        <v>1862</v>
      </c>
      <c r="I1869" s="471">
        <v>46.32</v>
      </c>
      <c r="J1869" s="476" t="s">
        <v>10</v>
      </c>
    </row>
    <row r="1870" spans="1:10" ht="127.5" outlineLevel="3">
      <c r="A1870" s="467" t="s">
        <v>2522</v>
      </c>
      <c r="B1870" s="468" t="s">
        <v>2523</v>
      </c>
      <c r="C1870" s="469"/>
      <c r="D1870" s="468"/>
      <c r="E1870" s="470">
        <v>147484.79999999999</v>
      </c>
      <c r="F1870" s="470">
        <v>147484.79999999999</v>
      </c>
      <c r="G1870" s="470">
        <v>53646.438190000001</v>
      </c>
      <c r="H1870" s="470">
        <v>53609.491529999999</v>
      </c>
      <c r="I1870" s="471">
        <v>36.35</v>
      </c>
      <c r="J1870" s="471"/>
    </row>
    <row r="1871" spans="1:10" ht="127.5" outlineLevel="4">
      <c r="A1871" s="472" t="s">
        <v>2522</v>
      </c>
      <c r="B1871" s="473" t="s">
        <v>2523</v>
      </c>
      <c r="C1871" s="474" t="s">
        <v>719</v>
      </c>
      <c r="D1871" s="473" t="s">
        <v>720</v>
      </c>
      <c r="E1871" s="475">
        <v>147484.79999999999</v>
      </c>
      <c r="F1871" s="475">
        <v>147484.79999999999</v>
      </c>
      <c r="G1871" s="475">
        <v>53646.438190000001</v>
      </c>
      <c r="H1871" s="475">
        <v>53609.491529999999</v>
      </c>
      <c r="I1871" s="471">
        <v>36.35</v>
      </c>
      <c r="J1871" s="476" t="s">
        <v>10</v>
      </c>
    </row>
    <row r="1872" spans="1:10" ht="127.5" outlineLevel="3">
      <c r="A1872" s="467" t="s">
        <v>2524</v>
      </c>
      <c r="B1872" s="468" t="s">
        <v>2525</v>
      </c>
      <c r="C1872" s="469"/>
      <c r="D1872" s="468"/>
      <c r="E1872" s="470">
        <v>296800</v>
      </c>
      <c r="F1872" s="470">
        <v>296800</v>
      </c>
      <c r="G1872" s="470">
        <v>196202.492</v>
      </c>
      <c r="H1872" s="470">
        <v>196183.94450000001</v>
      </c>
      <c r="I1872" s="471">
        <v>66.099999999999994</v>
      </c>
      <c r="J1872" s="471"/>
    </row>
    <row r="1873" spans="1:10" ht="127.5" outlineLevel="4">
      <c r="A1873" s="472" t="s">
        <v>2524</v>
      </c>
      <c r="B1873" s="473" t="s">
        <v>2525</v>
      </c>
      <c r="C1873" s="474" t="s">
        <v>719</v>
      </c>
      <c r="D1873" s="473" t="s">
        <v>720</v>
      </c>
      <c r="E1873" s="475">
        <v>296800</v>
      </c>
      <c r="F1873" s="475">
        <v>296800</v>
      </c>
      <c r="G1873" s="475">
        <v>196202.492</v>
      </c>
      <c r="H1873" s="475">
        <v>196183.94450000001</v>
      </c>
      <c r="I1873" s="471">
        <v>66.099999999999994</v>
      </c>
      <c r="J1873" s="476" t="s">
        <v>10</v>
      </c>
    </row>
    <row r="1874" spans="1:10" ht="102" outlineLevel="3">
      <c r="A1874" s="467" t="s">
        <v>2526</v>
      </c>
      <c r="B1874" s="468" t="s">
        <v>2527</v>
      </c>
      <c r="C1874" s="469"/>
      <c r="D1874" s="468"/>
      <c r="E1874" s="470">
        <v>324211</v>
      </c>
      <c r="F1874" s="470">
        <v>324211</v>
      </c>
      <c r="G1874" s="470">
        <v>164017.86094000001</v>
      </c>
      <c r="H1874" s="470">
        <v>163188.44029</v>
      </c>
      <c r="I1874" s="471">
        <v>50.33</v>
      </c>
      <c r="J1874" s="471"/>
    </row>
    <row r="1875" spans="1:10" ht="102" outlineLevel="4">
      <c r="A1875" s="472" t="s">
        <v>2526</v>
      </c>
      <c r="B1875" s="473" t="s">
        <v>2527</v>
      </c>
      <c r="C1875" s="474" t="s">
        <v>719</v>
      </c>
      <c r="D1875" s="473" t="s">
        <v>720</v>
      </c>
      <c r="E1875" s="475">
        <v>324211</v>
      </c>
      <c r="F1875" s="475">
        <v>324211</v>
      </c>
      <c r="G1875" s="475">
        <v>164017.86094000001</v>
      </c>
      <c r="H1875" s="475">
        <v>163188.44029</v>
      </c>
      <c r="I1875" s="471">
        <v>50.33</v>
      </c>
      <c r="J1875" s="476" t="s">
        <v>10</v>
      </c>
    </row>
    <row r="1876" spans="1:10" ht="165.75" outlineLevel="3">
      <c r="A1876" s="467" t="s">
        <v>2528</v>
      </c>
      <c r="B1876" s="468" t="s">
        <v>2529</v>
      </c>
      <c r="C1876" s="469"/>
      <c r="D1876" s="468"/>
      <c r="E1876" s="470">
        <v>83944</v>
      </c>
      <c r="F1876" s="470">
        <v>83944</v>
      </c>
      <c r="G1876" s="470">
        <v>83944</v>
      </c>
      <c r="H1876" s="470">
        <v>55665.9</v>
      </c>
      <c r="I1876" s="471">
        <v>66.31</v>
      </c>
      <c r="J1876" s="471"/>
    </row>
    <row r="1877" spans="1:10" ht="165.75" outlineLevel="4">
      <c r="A1877" s="472" t="s">
        <v>2528</v>
      </c>
      <c r="B1877" s="473" t="s">
        <v>2529</v>
      </c>
      <c r="C1877" s="474" t="s">
        <v>1058</v>
      </c>
      <c r="D1877" s="473" t="s">
        <v>1059</v>
      </c>
      <c r="E1877" s="475">
        <v>83944</v>
      </c>
      <c r="F1877" s="475">
        <v>83944</v>
      </c>
      <c r="G1877" s="475">
        <v>83944</v>
      </c>
      <c r="H1877" s="475">
        <v>55665.9</v>
      </c>
      <c r="I1877" s="471">
        <v>66.31</v>
      </c>
      <c r="J1877" s="476" t="s">
        <v>10</v>
      </c>
    </row>
    <row r="1878" spans="1:10" ht="102" outlineLevel="3">
      <c r="A1878" s="467" t="s">
        <v>2530</v>
      </c>
      <c r="B1878" s="468" t="s">
        <v>2531</v>
      </c>
      <c r="C1878" s="469"/>
      <c r="D1878" s="468"/>
      <c r="E1878" s="470">
        <v>978835.8</v>
      </c>
      <c r="F1878" s="470">
        <v>978835.8</v>
      </c>
      <c r="G1878" s="470">
        <v>0</v>
      </c>
      <c r="H1878" s="470">
        <v>0</v>
      </c>
      <c r="I1878" s="471">
        <v>0</v>
      </c>
      <c r="J1878" s="471"/>
    </row>
    <row r="1879" spans="1:10" ht="102" outlineLevel="4">
      <c r="A1879" s="472" t="s">
        <v>2530</v>
      </c>
      <c r="B1879" s="473" t="s">
        <v>2531</v>
      </c>
      <c r="C1879" s="474" t="s">
        <v>818</v>
      </c>
      <c r="D1879" s="473" t="s">
        <v>819</v>
      </c>
      <c r="E1879" s="475">
        <v>978835.8</v>
      </c>
      <c r="F1879" s="475">
        <v>978835.8</v>
      </c>
      <c r="G1879" s="475">
        <v>0</v>
      </c>
      <c r="H1879" s="475">
        <v>0</v>
      </c>
      <c r="I1879" s="471">
        <v>0</v>
      </c>
      <c r="J1879" s="471"/>
    </row>
    <row r="1880" spans="1:10" ht="63.75" outlineLevel="3">
      <c r="A1880" s="467" t="s">
        <v>2532</v>
      </c>
      <c r="B1880" s="468" t="s">
        <v>2533</v>
      </c>
      <c r="C1880" s="469"/>
      <c r="D1880" s="468"/>
      <c r="E1880" s="470">
        <v>499886.35100000002</v>
      </c>
      <c r="F1880" s="470">
        <v>499886.35100000002</v>
      </c>
      <c r="G1880" s="470">
        <v>499886.35100000002</v>
      </c>
      <c r="H1880" s="470">
        <v>499886.35100000002</v>
      </c>
      <c r="I1880" s="471">
        <v>100</v>
      </c>
      <c r="J1880" s="471"/>
    </row>
    <row r="1881" spans="1:10" ht="63.75" outlineLevel="4">
      <c r="A1881" s="472" t="s">
        <v>2532</v>
      </c>
      <c r="B1881" s="473" t="s">
        <v>2533</v>
      </c>
      <c r="C1881" s="474" t="s">
        <v>1817</v>
      </c>
      <c r="D1881" s="473" t="s">
        <v>1818</v>
      </c>
      <c r="E1881" s="475">
        <v>499886.35100000002</v>
      </c>
      <c r="F1881" s="475">
        <v>499886.35100000002</v>
      </c>
      <c r="G1881" s="475">
        <v>499886.35100000002</v>
      </c>
      <c r="H1881" s="475">
        <v>499886.35100000002</v>
      </c>
      <c r="I1881" s="471">
        <v>100</v>
      </c>
      <c r="J1881" s="471"/>
    </row>
    <row r="1882" spans="1:10" ht="63.75" outlineLevel="3">
      <c r="A1882" s="467" t="s">
        <v>2534</v>
      </c>
      <c r="B1882" s="468" t="s">
        <v>2535</v>
      </c>
      <c r="C1882" s="469"/>
      <c r="D1882" s="468"/>
      <c r="E1882" s="470">
        <v>23091.564999999999</v>
      </c>
      <c r="F1882" s="470">
        <v>23091.564999999999</v>
      </c>
      <c r="G1882" s="470">
        <v>23091.563999999998</v>
      </c>
      <c r="H1882" s="470">
        <v>23081.223000000002</v>
      </c>
      <c r="I1882" s="471">
        <v>99.96</v>
      </c>
      <c r="J1882" s="471"/>
    </row>
    <row r="1883" spans="1:10" ht="63.75" outlineLevel="4">
      <c r="A1883" s="472" t="s">
        <v>2534</v>
      </c>
      <c r="B1883" s="473" t="s">
        <v>2535</v>
      </c>
      <c r="C1883" s="474" t="s">
        <v>1597</v>
      </c>
      <c r="D1883" s="473" t="s">
        <v>1598</v>
      </c>
      <c r="E1883" s="475">
        <v>23091.564999999999</v>
      </c>
      <c r="F1883" s="475">
        <v>23091.564999999999</v>
      </c>
      <c r="G1883" s="475">
        <v>23091.563999999998</v>
      </c>
      <c r="H1883" s="475">
        <v>23081.223000000002</v>
      </c>
      <c r="I1883" s="471">
        <v>99.96</v>
      </c>
      <c r="J1883" s="471"/>
    </row>
    <row r="1884" spans="1:10" ht="114.75" outlineLevel="3">
      <c r="A1884" s="467" t="s">
        <v>2536</v>
      </c>
      <c r="B1884" s="468" t="s">
        <v>2537</v>
      </c>
      <c r="C1884" s="469"/>
      <c r="D1884" s="468"/>
      <c r="E1884" s="470">
        <v>122378.1</v>
      </c>
      <c r="F1884" s="470">
        <v>122378.1</v>
      </c>
      <c r="G1884" s="470">
        <v>122378.1</v>
      </c>
      <c r="H1884" s="470">
        <v>122378.1</v>
      </c>
      <c r="I1884" s="471">
        <v>100</v>
      </c>
      <c r="J1884" s="471"/>
    </row>
    <row r="1885" spans="1:10" ht="114.75" outlineLevel="4">
      <c r="A1885" s="472" t="s">
        <v>2536</v>
      </c>
      <c r="B1885" s="473" t="s">
        <v>2537</v>
      </c>
      <c r="C1885" s="474" t="s">
        <v>1058</v>
      </c>
      <c r="D1885" s="473" t="s">
        <v>1059</v>
      </c>
      <c r="E1885" s="475">
        <v>122378.1</v>
      </c>
      <c r="F1885" s="475">
        <v>122378.1</v>
      </c>
      <c r="G1885" s="475">
        <v>122378.1</v>
      </c>
      <c r="H1885" s="475">
        <v>122378.1</v>
      </c>
      <c r="I1885" s="471">
        <v>100</v>
      </c>
      <c r="J1885" s="471"/>
    </row>
    <row r="1886" spans="1:10" ht="114.75" outlineLevel="3">
      <c r="A1886" s="467" t="s">
        <v>2538</v>
      </c>
      <c r="B1886" s="468" t="s">
        <v>2539</v>
      </c>
      <c r="C1886" s="469"/>
      <c r="D1886" s="468"/>
      <c r="E1886" s="470">
        <v>57093.3</v>
      </c>
      <c r="F1886" s="470">
        <v>57093.3</v>
      </c>
      <c r="G1886" s="470">
        <v>57093.3</v>
      </c>
      <c r="H1886" s="470">
        <v>57093.3</v>
      </c>
      <c r="I1886" s="471">
        <v>100</v>
      </c>
      <c r="J1886" s="471"/>
    </row>
    <row r="1887" spans="1:10" ht="114.75" outlineLevel="4">
      <c r="A1887" s="472" t="s">
        <v>2538</v>
      </c>
      <c r="B1887" s="473" t="s">
        <v>2539</v>
      </c>
      <c r="C1887" s="474" t="s">
        <v>1058</v>
      </c>
      <c r="D1887" s="473" t="s">
        <v>1059</v>
      </c>
      <c r="E1887" s="475">
        <v>57093.3</v>
      </c>
      <c r="F1887" s="475">
        <v>57093.3</v>
      </c>
      <c r="G1887" s="475">
        <v>57093.3</v>
      </c>
      <c r="H1887" s="475">
        <v>57093.3</v>
      </c>
      <c r="I1887" s="471">
        <v>100</v>
      </c>
      <c r="J1887" s="471"/>
    </row>
    <row r="1888" spans="1:10" ht="15.75" collapsed="1" thickBot="1">
      <c r="A1888" s="477"/>
      <c r="B1888" s="478"/>
      <c r="C1888" s="478"/>
      <c r="D1888" s="478"/>
      <c r="E1888" s="478"/>
      <c r="F1888" s="478"/>
      <c r="G1888" s="478"/>
      <c r="H1888" s="478"/>
      <c r="I1888" s="479"/>
      <c r="J1888" s="479"/>
    </row>
    <row r="1889" spans="1:10" ht="15.75" thickBot="1">
      <c r="A1889" s="480" t="s">
        <v>2540</v>
      </c>
      <c r="B1889" s="481"/>
      <c r="C1889" s="481"/>
      <c r="D1889" s="481"/>
      <c r="E1889" s="482">
        <v>88628384.065630004</v>
      </c>
      <c r="F1889" s="482">
        <v>83901846.999779999</v>
      </c>
      <c r="G1889" s="482">
        <v>38240658.06758</v>
      </c>
      <c r="H1889" s="482">
        <v>36745153.91336</v>
      </c>
      <c r="I1889" s="483"/>
      <c r="J1889" s="483"/>
    </row>
    <row r="1890" spans="1:10">
      <c r="A1890" s="484"/>
      <c r="B1890" s="484"/>
      <c r="C1890" s="484"/>
      <c r="D1890" s="484"/>
      <c r="E1890" s="484"/>
      <c r="F1890" s="484"/>
      <c r="G1890" s="484"/>
      <c r="H1890" s="484"/>
      <c r="I1890" s="484"/>
    </row>
    <row r="1891" spans="1:10">
      <c r="A1891" s="955"/>
      <c r="B1891" s="956"/>
      <c r="C1891" s="956"/>
      <c r="D1891" s="956"/>
      <c r="E1891" s="956"/>
      <c r="F1891" s="956"/>
      <c r="G1891" s="956"/>
      <c r="H1891" s="956"/>
      <c r="I1891" s="956"/>
    </row>
  </sheetData>
  <autoFilter ref="A5:J1887"/>
  <mergeCells count="4">
    <mergeCell ref="A1:I1"/>
    <mergeCell ref="A2:I2"/>
    <mergeCell ref="A3:I3"/>
    <mergeCell ref="A1891:I1891"/>
  </mergeCells>
  <pageMargins left="0.7" right="0.7" top="0.75" bottom="0.75" header="0.3" footer="0.3"/>
  <pageSetup paperSize="9" scale="4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2"/>
  <sheetViews>
    <sheetView topLeftCell="A91" workbookViewId="0">
      <selection activeCell="C102" sqref="C102"/>
    </sheetView>
  </sheetViews>
  <sheetFormatPr defaultColWidth="9.140625" defaultRowHeight="12.75"/>
  <cols>
    <col min="1" max="1" width="81" style="528" customWidth="1"/>
    <col min="2" max="2" width="14.42578125" style="530" customWidth="1"/>
    <col min="3" max="3" width="14.140625" style="530" customWidth="1"/>
    <col min="4" max="4" width="11.7109375" style="530" customWidth="1"/>
    <col min="5" max="16384" width="9.140625" style="485"/>
  </cols>
  <sheetData>
    <row r="1" spans="1:4" ht="21.2" customHeight="1">
      <c r="A1" s="957" t="s">
        <v>2541</v>
      </c>
      <c r="B1" s="957"/>
      <c r="C1" s="957"/>
      <c r="D1" s="957"/>
    </row>
    <row r="2" spans="1:4" ht="48.75" customHeight="1">
      <c r="A2" s="958" t="s">
        <v>2542</v>
      </c>
      <c r="B2" s="958"/>
      <c r="C2" s="958"/>
      <c r="D2" s="958"/>
    </row>
    <row r="3" spans="1:4" ht="13.5" thickBot="1">
      <c r="A3" s="486"/>
      <c r="B3" s="487"/>
      <c r="C3" s="487"/>
      <c r="D3" s="488" t="s">
        <v>2543</v>
      </c>
    </row>
    <row r="4" spans="1:4" ht="16.5" customHeight="1">
      <c r="A4" s="959" t="s">
        <v>2544</v>
      </c>
      <c r="B4" s="961" t="s">
        <v>2545</v>
      </c>
      <c r="C4" s="961" t="s">
        <v>2546</v>
      </c>
      <c r="D4" s="963" t="s">
        <v>2547</v>
      </c>
    </row>
    <row r="5" spans="1:4" ht="46.5" customHeight="1">
      <c r="A5" s="960" t="s">
        <v>2548</v>
      </c>
      <c r="B5" s="962"/>
      <c r="C5" s="962"/>
      <c r="D5" s="964"/>
    </row>
    <row r="6" spans="1:4">
      <c r="A6" s="489" t="s">
        <v>2549</v>
      </c>
      <c r="B6" s="490">
        <f t="shared" ref="B6:D7" si="0">B7</f>
        <v>112073.94</v>
      </c>
      <c r="C6" s="490">
        <f t="shared" si="0"/>
        <v>0</v>
      </c>
      <c r="D6" s="491">
        <f t="shared" si="0"/>
        <v>41280</v>
      </c>
    </row>
    <row r="7" spans="1:4">
      <c r="A7" s="492" t="s">
        <v>2550</v>
      </c>
      <c r="B7" s="493">
        <f t="shared" si="0"/>
        <v>112073.94</v>
      </c>
      <c r="C7" s="493">
        <f t="shared" si="0"/>
        <v>0</v>
      </c>
      <c r="D7" s="494">
        <f t="shared" si="0"/>
        <v>41280</v>
      </c>
    </row>
    <row r="8" spans="1:4">
      <c r="A8" s="495" t="s">
        <v>2551</v>
      </c>
      <c r="B8" s="493">
        <f>B9+B10</f>
        <v>112073.94</v>
      </c>
      <c r="C8" s="493">
        <f t="shared" ref="C8:D8" si="1">C9+C10</f>
        <v>0</v>
      </c>
      <c r="D8" s="494">
        <f t="shared" si="1"/>
        <v>41280</v>
      </c>
    </row>
    <row r="9" spans="1:4">
      <c r="A9" s="496" t="s">
        <v>2552</v>
      </c>
      <c r="B9" s="497">
        <v>66373.94</v>
      </c>
      <c r="C9" s="497">
        <v>0</v>
      </c>
      <c r="D9" s="965">
        <v>41280</v>
      </c>
    </row>
    <row r="10" spans="1:4">
      <c r="A10" s="496" t="s">
        <v>2553</v>
      </c>
      <c r="B10" s="497">
        <v>45700</v>
      </c>
      <c r="C10" s="497">
        <v>0</v>
      </c>
      <c r="D10" s="966"/>
    </row>
    <row r="11" spans="1:4">
      <c r="A11" s="498" t="s">
        <v>2554</v>
      </c>
      <c r="B11" s="490">
        <f>B12+B16</f>
        <v>173122.3</v>
      </c>
      <c r="C11" s="490">
        <f t="shared" ref="C11:D11" si="2">C12+C16</f>
        <v>0</v>
      </c>
      <c r="D11" s="491">
        <f t="shared" si="2"/>
        <v>0</v>
      </c>
    </row>
    <row r="12" spans="1:4" ht="25.5">
      <c r="A12" s="495" t="s">
        <v>2555</v>
      </c>
      <c r="B12" s="493">
        <f>B13</f>
        <v>124024</v>
      </c>
      <c r="C12" s="493">
        <f t="shared" ref="C12:D12" si="3">C13</f>
        <v>0</v>
      </c>
      <c r="D12" s="494">
        <f t="shared" si="3"/>
        <v>0</v>
      </c>
    </row>
    <row r="13" spans="1:4">
      <c r="A13" s="495" t="s">
        <v>2556</v>
      </c>
      <c r="B13" s="493">
        <f>B14+B15</f>
        <v>124024</v>
      </c>
      <c r="C13" s="493">
        <f t="shared" ref="C13:D13" si="4">C14+C15</f>
        <v>0</v>
      </c>
      <c r="D13" s="494">
        <f t="shared" si="4"/>
        <v>0</v>
      </c>
    </row>
    <row r="14" spans="1:4" ht="38.25">
      <c r="A14" s="499" t="s">
        <v>2557</v>
      </c>
      <c r="B14" s="497">
        <v>118800</v>
      </c>
      <c r="C14" s="497">
        <v>0</v>
      </c>
      <c r="D14" s="500">
        <v>0</v>
      </c>
    </row>
    <row r="15" spans="1:4">
      <c r="A15" s="496" t="s">
        <v>2558</v>
      </c>
      <c r="B15" s="497">
        <v>5224</v>
      </c>
      <c r="C15" s="497">
        <v>0</v>
      </c>
      <c r="D15" s="500">
        <v>0</v>
      </c>
    </row>
    <row r="16" spans="1:4" ht="25.5">
      <c r="A16" s="495" t="s">
        <v>2559</v>
      </c>
      <c r="B16" s="493">
        <f>B17</f>
        <v>49098.3</v>
      </c>
      <c r="C16" s="493">
        <f t="shared" ref="C16:D16" si="5">C17</f>
        <v>0</v>
      </c>
      <c r="D16" s="494">
        <f t="shared" si="5"/>
        <v>0</v>
      </c>
    </row>
    <row r="17" spans="1:4">
      <c r="A17" s="495" t="s">
        <v>2560</v>
      </c>
      <c r="B17" s="493">
        <f>B18+B19+B20</f>
        <v>49098.3</v>
      </c>
      <c r="C17" s="493">
        <f t="shared" ref="C17:D17" si="6">C18+C19+C20</f>
        <v>0</v>
      </c>
      <c r="D17" s="494">
        <f t="shared" si="6"/>
        <v>0</v>
      </c>
    </row>
    <row r="18" spans="1:4" ht="48.75" customHeight="1">
      <c r="A18" s="496" t="s">
        <v>2561</v>
      </c>
      <c r="B18" s="497">
        <v>3501</v>
      </c>
      <c r="C18" s="497">
        <v>0</v>
      </c>
      <c r="D18" s="500">
        <v>0</v>
      </c>
    </row>
    <row r="19" spans="1:4" ht="25.5">
      <c r="A19" s="499" t="s">
        <v>2562</v>
      </c>
      <c r="B19" s="497">
        <v>35996.400000000001</v>
      </c>
      <c r="C19" s="497">
        <v>0</v>
      </c>
      <c r="D19" s="500">
        <v>0</v>
      </c>
    </row>
    <row r="20" spans="1:4" ht="25.5">
      <c r="A20" s="499" t="s">
        <v>2563</v>
      </c>
      <c r="B20" s="497">
        <v>9600.9</v>
      </c>
      <c r="C20" s="497">
        <v>0</v>
      </c>
      <c r="D20" s="500">
        <v>0</v>
      </c>
    </row>
    <row r="21" spans="1:4">
      <c r="A21" s="501" t="s">
        <v>2564</v>
      </c>
      <c r="B21" s="490">
        <f>B22+B26</f>
        <v>64681.930999999997</v>
      </c>
      <c r="C21" s="490">
        <f t="shared" ref="C21:D21" si="7">C22+C26</f>
        <v>8942.8310000000001</v>
      </c>
      <c r="D21" s="491">
        <f t="shared" si="7"/>
        <v>0</v>
      </c>
    </row>
    <row r="22" spans="1:4" ht="25.5">
      <c r="A22" s="502" t="s">
        <v>2565</v>
      </c>
      <c r="B22" s="493">
        <f>B23</f>
        <v>19942.830999999998</v>
      </c>
      <c r="C22" s="493">
        <f t="shared" ref="C22:D23" si="8">C23</f>
        <v>8942.8310000000001</v>
      </c>
      <c r="D22" s="494">
        <f t="shared" si="8"/>
        <v>0</v>
      </c>
    </row>
    <row r="23" spans="1:4">
      <c r="A23" s="503" t="s">
        <v>2566</v>
      </c>
      <c r="B23" s="493">
        <f>B24</f>
        <v>19942.830999999998</v>
      </c>
      <c r="C23" s="493">
        <f t="shared" si="8"/>
        <v>8942.8310000000001</v>
      </c>
      <c r="D23" s="494">
        <f t="shared" si="8"/>
        <v>0</v>
      </c>
    </row>
    <row r="24" spans="1:4">
      <c r="A24" s="499" t="s">
        <v>2567</v>
      </c>
      <c r="B24" s="497">
        <v>19942.830999999998</v>
      </c>
      <c r="C24" s="497">
        <v>8942.8310000000001</v>
      </c>
      <c r="D24" s="500">
        <v>0</v>
      </c>
    </row>
    <row r="25" spans="1:4" ht="25.5">
      <c r="A25" s="502" t="s">
        <v>2568</v>
      </c>
      <c r="B25" s="493">
        <f>B26</f>
        <v>44739.1</v>
      </c>
      <c r="C25" s="493">
        <f t="shared" ref="C25:D25" si="9">C26</f>
        <v>0</v>
      </c>
      <c r="D25" s="494">
        <f t="shared" si="9"/>
        <v>0</v>
      </c>
    </row>
    <row r="26" spans="1:4">
      <c r="A26" s="495" t="s">
        <v>2569</v>
      </c>
      <c r="B26" s="493">
        <f>B27+B28</f>
        <v>44739.1</v>
      </c>
      <c r="C26" s="493">
        <f t="shared" ref="C26:D26" si="10">C27+C28</f>
        <v>0</v>
      </c>
      <c r="D26" s="494">
        <f t="shared" si="10"/>
        <v>0</v>
      </c>
    </row>
    <row r="27" spans="1:4" ht="25.5">
      <c r="A27" s="499" t="s">
        <v>2570</v>
      </c>
      <c r="B27" s="497">
        <v>18576.099999999999</v>
      </c>
      <c r="C27" s="497">
        <v>0</v>
      </c>
      <c r="D27" s="500">
        <v>0</v>
      </c>
    </row>
    <row r="28" spans="1:4" ht="25.5">
      <c r="A28" s="499" t="s">
        <v>2571</v>
      </c>
      <c r="B28" s="497">
        <v>26163</v>
      </c>
      <c r="C28" s="497">
        <v>0</v>
      </c>
      <c r="D28" s="500">
        <v>0</v>
      </c>
    </row>
    <row r="29" spans="1:4">
      <c r="A29" s="504" t="s">
        <v>2572</v>
      </c>
      <c r="B29" s="490">
        <f>B30+B36</f>
        <v>288334.516</v>
      </c>
      <c r="C29" s="490">
        <f t="shared" ref="C29:D29" si="11">C30+C36</f>
        <v>21304.975999999999</v>
      </c>
      <c r="D29" s="491">
        <f t="shared" si="11"/>
        <v>52604.4</v>
      </c>
    </row>
    <row r="30" spans="1:4">
      <c r="A30" s="492" t="s">
        <v>2573</v>
      </c>
      <c r="B30" s="493">
        <f>B31</f>
        <v>183931.3</v>
      </c>
      <c r="C30" s="493">
        <f t="shared" ref="C30:D30" si="12">C31</f>
        <v>0</v>
      </c>
      <c r="D30" s="494">
        <f t="shared" si="12"/>
        <v>13959.099999999999</v>
      </c>
    </row>
    <row r="31" spans="1:4">
      <c r="A31" s="495" t="s">
        <v>2574</v>
      </c>
      <c r="B31" s="493">
        <f>B32+B33+B34+B35</f>
        <v>183931.3</v>
      </c>
      <c r="C31" s="493">
        <f t="shared" ref="C31:D31" si="13">C32+C33+C34+C35</f>
        <v>0</v>
      </c>
      <c r="D31" s="494">
        <f t="shared" si="13"/>
        <v>13959.099999999999</v>
      </c>
    </row>
    <row r="32" spans="1:4" ht="25.5">
      <c r="A32" s="499" t="s">
        <v>2575</v>
      </c>
      <c r="B32" s="497">
        <v>37391.4</v>
      </c>
      <c r="C32" s="497">
        <v>0</v>
      </c>
      <c r="D32" s="965">
        <v>5564.8</v>
      </c>
    </row>
    <row r="33" spans="1:4" ht="25.5">
      <c r="A33" s="499" t="s">
        <v>2576</v>
      </c>
      <c r="B33" s="497">
        <v>18406.5</v>
      </c>
      <c r="C33" s="497">
        <v>0</v>
      </c>
      <c r="D33" s="966"/>
    </row>
    <row r="34" spans="1:4" ht="25.5">
      <c r="A34" s="499" t="s">
        <v>2577</v>
      </c>
      <c r="B34" s="497">
        <v>88804.5</v>
      </c>
      <c r="C34" s="497">
        <v>0</v>
      </c>
      <c r="D34" s="965">
        <v>8394.2999999999993</v>
      </c>
    </row>
    <row r="35" spans="1:4" ht="25.5">
      <c r="A35" s="499" t="s">
        <v>2578</v>
      </c>
      <c r="B35" s="497">
        <v>39328.9</v>
      </c>
      <c r="C35" s="497">
        <v>0</v>
      </c>
      <c r="D35" s="966"/>
    </row>
    <row r="36" spans="1:4">
      <c r="A36" s="492" t="s">
        <v>2550</v>
      </c>
      <c r="B36" s="493">
        <f t="shared" ref="B36:D36" si="14">B37</f>
        <v>104403.216</v>
      </c>
      <c r="C36" s="493">
        <f t="shared" si="14"/>
        <v>21304.975999999999</v>
      </c>
      <c r="D36" s="494">
        <f t="shared" si="14"/>
        <v>38645.300000000003</v>
      </c>
    </row>
    <row r="37" spans="1:4">
      <c r="A37" s="495" t="s">
        <v>2551</v>
      </c>
      <c r="B37" s="493">
        <f>B38+B39</f>
        <v>104403.216</v>
      </c>
      <c r="C37" s="493">
        <f>C38+C39</f>
        <v>21304.975999999999</v>
      </c>
      <c r="D37" s="494">
        <f>D38+D39</f>
        <v>38645.300000000003</v>
      </c>
    </row>
    <row r="38" spans="1:4">
      <c r="A38" s="499" t="s">
        <v>2579</v>
      </c>
      <c r="B38" s="497">
        <v>49263.7</v>
      </c>
      <c r="C38" s="497">
        <v>0</v>
      </c>
      <c r="D38" s="965">
        <v>38645.300000000003</v>
      </c>
    </row>
    <row r="39" spans="1:4">
      <c r="A39" s="499" t="s">
        <v>2580</v>
      </c>
      <c r="B39" s="497">
        <v>55139.516000000003</v>
      </c>
      <c r="C39" s="497">
        <v>21304.975999999999</v>
      </c>
      <c r="D39" s="966"/>
    </row>
    <row r="40" spans="1:4">
      <c r="A40" s="501" t="s">
        <v>2581</v>
      </c>
      <c r="B40" s="490">
        <f>B41</f>
        <v>17669.7</v>
      </c>
      <c r="C40" s="490">
        <f t="shared" ref="C40:D42" si="15">C41</f>
        <v>0</v>
      </c>
      <c r="D40" s="491">
        <f t="shared" si="15"/>
        <v>0</v>
      </c>
    </row>
    <row r="41" spans="1:4" ht="25.5">
      <c r="A41" s="492" t="s">
        <v>2565</v>
      </c>
      <c r="B41" s="493">
        <f>B42</f>
        <v>17669.7</v>
      </c>
      <c r="C41" s="493">
        <f t="shared" si="15"/>
        <v>0</v>
      </c>
      <c r="D41" s="494">
        <f t="shared" si="15"/>
        <v>0</v>
      </c>
    </row>
    <row r="42" spans="1:4">
      <c r="A42" s="503" t="s">
        <v>2566</v>
      </c>
      <c r="B42" s="493">
        <f>B43</f>
        <v>17669.7</v>
      </c>
      <c r="C42" s="493">
        <f t="shared" si="15"/>
        <v>0</v>
      </c>
      <c r="D42" s="494">
        <f t="shared" si="15"/>
        <v>0</v>
      </c>
    </row>
    <row r="43" spans="1:4">
      <c r="A43" s="499" t="s">
        <v>2582</v>
      </c>
      <c r="B43" s="497">
        <v>17669.7</v>
      </c>
      <c r="C43" s="497">
        <v>0</v>
      </c>
      <c r="D43" s="500">
        <v>0</v>
      </c>
    </row>
    <row r="44" spans="1:4">
      <c r="A44" s="505" t="s">
        <v>2583</v>
      </c>
      <c r="B44" s="490">
        <f>B45+B48</f>
        <v>25816.2</v>
      </c>
      <c r="C44" s="490">
        <f t="shared" ref="C44:D44" si="16">C45+C48</f>
        <v>0</v>
      </c>
      <c r="D44" s="491">
        <f t="shared" si="16"/>
        <v>452.8</v>
      </c>
    </row>
    <row r="45" spans="1:4">
      <c r="A45" s="492" t="s">
        <v>2550</v>
      </c>
      <c r="B45" s="493">
        <f t="shared" ref="B45:D46" si="17">B46</f>
        <v>2120</v>
      </c>
      <c r="C45" s="493">
        <f t="shared" si="17"/>
        <v>0</v>
      </c>
      <c r="D45" s="494">
        <f t="shared" si="17"/>
        <v>0</v>
      </c>
    </row>
    <row r="46" spans="1:4">
      <c r="A46" s="495" t="s">
        <v>2551</v>
      </c>
      <c r="B46" s="493">
        <f>B47</f>
        <v>2120</v>
      </c>
      <c r="C46" s="493">
        <f t="shared" si="17"/>
        <v>0</v>
      </c>
      <c r="D46" s="494">
        <f t="shared" si="17"/>
        <v>0</v>
      </c>
    </row>
    <row r="47" spans="1:4">
      <c r="A47" s="506" t="s">
        <v>2584</v>
      </c>
      <c r="B47" s="497">
        <v>2120</v>
      </c>
      <c r="C47" s="497">
        <v>0</v>
      </c>
      <c r="D47" s="500">
        <v>0</v>
      </c>
    </row>
    <row r="48" spans="1:4" ht="25.5">
      <c r="A48" s="502" t="s">
        <v>2565</v>
      </c>
      <c r="B48" s="493">
        <f>B49</f>
        <v>23696.2</v>
      </c>
      <c r="C48" s="493">
        <f t="shared" ref="C48:D49" si="18">C49</f>
        <v>0</v>
      </c>
      <c r="D48" s="494">
        <f t="shared" si="18"/>
        <v>452.8</v>
      </c>
    </row>
    <row r="49" spans="1:4">
      <c r="A49" s="503" t="s">
        <v>2566</v>
      </c>
      <c r="B49" s="493">
        <f>B50</f>
        <v>23696.2</v>
      </c>
      <c r="C49" s="493">
        <f t="shared" si="18"/>
        <v>0</v>
      </c>
      <c r="D49" s="494">
        <f t="shared" si="18"/>
        <v>452.8</v>
      </c>
    </row>
    <row r="50" spans="1:4">
      <c r="A50" s="499" t="s">
        <v>2585</v>
      </c>
      <c r="B50" s="497">
        <v>23696.2</v>
      </c>
      <c r="C50" s="497">
        <v>0</v>
      </c>
      <c r="D50" s="500">
        <v>452.8</v>
      </c>
    </row>
    <row r="51" spans="1:4">
      <c r="A51" s="501" t="s">
        <v>2586</v>
      </c>
      <c r="B51" s="490">
        <f>B52</f>
        <v>897662.79999999993</v>
      </c>
      <c r="C51" s="490">
        <f t="shared" ref="C51:D51" si="19">C52</f>
        <v>0</v>
      </c>
      <c r="D51" s="491">
        <f t="shared" si="19"/>
        <v>53956.5</v>
      </c>
    </row>
    <row r="52" spans="1:4">
      <c r="A52" s="492" t="s">
        <v>2573</v>
      </c>
      <c r="B52" s="493">
        <f>B53+B56</f>
        <v>897662.79999999993</v>
      </c>
      <c r="C52" s="493">
        <f t="shared" ref="C52:D52" si="20">C53+C56</f>
        <v>0</v>
      </c>
      <c r="D52" s="494">
        <f t="shared" si="20"/>
        <v>53956.5</v>
      </c>
    </row>
    <row r="53" spans="1:4">
      <c r="A53" s="495" t="s">
        <v>2587</v>
      </c>
      <c r="B53" s="493">
        <f>B54+B55</f>
        <v>721396.2</v>
      </c>
      <c r="C53" s="493">
        <f t="shared" ref="C53:D53" si="21">C54+C55</f>
        <v>0</v>
      </c>
      <c r="D53" s="494">
        <f t="shared" si="21"/>
        <v>0</v>
      </c>
    </row>
    <row r="54" spans="1:4" ht="25.5">
      <c r="A54" s="499" t="s">
        <v>2588</v>
      </c>
      <c r="B54" s="497">
        <v>450709.6</v>
      </c>
      <c r="C54" s="497">
        <v>0</v>
      </c>
      <c r="D54" s="500">
        <v>0</v>
      </c>
    </row>
    <row r="55" spans="1:4" ht="25.5">
      <c r="A55" s="499" t="s">
        <v>2589</v>
      </c>
      <c r="B55" s="497">
        <v>270686.59999999998</v>
      </c>
      <c r="C55" s="497">
        <v>0</v>
      </c>
      <c r="D55" s="500">
        <v>0</v>
      </c>
    </row>
    <row r="56" spans="1:4">
      <c r="A56" s="495" t="s">
        <v>2574</v>
      </c>
      <c r="B56" s="493">
        <f>B57+B58</f>
        <v>176266.59999999998</v>
      </c>
      <c r="C56" s="493">
        <f t="shared" ref="C56:D56" si="22">C57+C58</f>
        <v>0</v>
      </c>
      <c r="D56" s="494">
        <f t="shared" si="22"/>
        <v>53956.5</v>
      </c>
    </row>
    <row r="57" spans="1:4">
      <c r="A57" s="499" t="s">
        <v>2590</v>
      </c>
      <c r="B57" s="497">
        <v>105987.9</v>
      </c>
      <c r="C57" s="497">
        <v>0</v>
      </c>
      <c r="D57" s="965">
        <v>53956.5</v>
      </c>
    </row>
    <row r="58" spans="1:4">
      <c r="A58" s="499" t="s">
        <v>2591</v>
      </c>
      <c r="B58" s="497">
        <v>70278.7</v>
      </c>
      <c r="C58" s="497">
        <v>0</v>
      </c>
      <c r="D58" s="966"/>
    </row>
    <row r="59" spans="1:4">
      <c r="A59" s="504" t="s">
        <v>2592</v>
      </c>
      <c r="B59" s="490">
        <f>B60</f>
        <v>9475.9</v>
      </c>
      <c r="C59" s="490">
        <f t="shared" ref="C59:D61" si="23">C60</f>
        <v>0</v>
      </c>
      <c r="D59" s="491">
        <f t="shared" si="23"/>
        <v>0</v>
      </c>
    </row>
    <row r="60" spans="1:4">
      <c r="A60" s="492" t="s">
        <v>2550</v>
      </c>
      <c r="B60" s="493">
        <f>B61</f>
        <v>9475.9</v>
      </c>
      <c r="C60" s="493">
        <f t="shared" si="23"/>
        <v>0</v>
      </c>
      <c r="D60" s="494">
        <f t="shared" si="23"/>
        <v>0</v>
      </c>
    </row>
    <row r="61" spans="1:4">
      <c r="A61" s="495" t="s">
        <v>2551</v>
      </c>
      <c r="B61" s="493">
        <f>B62</f>
        <v>9475.9</v>
      </c>
      <c r="C61" s="493">
        <f t="shared" si="23"/>
        <v>0</v>
      </c>
      <c r="D61" s="494">
        <f t="shared" si="23"/>
        <v>0</v>
      </c>
    </row>
    <row r="62" spans="1:4">
      <c r="A62" s="499" t="s">
        <v>2593</v>
      </c>
      <c r="B62" s="497">
        <v>9475.9</v>
      </c>
      <c r="C62" s="497">
        <v>0</v>
      </c>
      <c r="D62" s="500">
        <v>0</v>
      </c>
    </row>
    <row r="63" spans="1:4">
      <c r="A63" s="504" t="s">
        <v>2594</v>
      </c>
      <c r="B63" s="490">
        <f>B64+B68</f>
        <v>118340.79999999999</v>
      </c>
      <c r="C63" s="490">
        <f t="shared" ref="C63:D63" si="24">C64+C68</f>
        <v>9387.8809999999994</v>
      </c>
      <c r="D63" s="491">
        <f t="shared" si="24"/>
        <v>0</v>
      </c>
    </row>
    <row r="64" spans="1:4">
      <c r="A64" s="492" t="s">
        <v>2573</v>
      </c>
      <c r="B64" s="493">
        <f>B65</f>
        <v>69441.399999999994</v>
      </c>
      <c r="C64" s="493">
        <f t="shared" ref="C64:D64" si="25">C65</f>
        <v>0</v>
      </c>
      <c r="D64" s="494">
        <f t="shared" si="25"/>
        <v>0</v>
      </c>
    </row>
    <row r="65" spans="1:4">
      <c r="A65" s="495" t="s">
        <v>2574</v>
      </c>
      <c r="B65" s="493">
        <f>B66+B67</f>
        <v>69441.399999999994</v>
      </c>
      <c r="C65" s="493">
        <f t="shared" ref="C65:D65" si="26">C66+C67</f>
        <v>0</v>
      </c>
      <c r="D65" s="494">
        <f t="shared" si="26"/>
        <v>0</v>
      </c>
    </row>
    <row r="66" spans="1:4">
      <c r="A66" s="499" t="s">
        <v>2595</v>
      </c>
      <c r="B66" s="497">
        <v>37606</v>
      </c>
      <c r="C66" s="497">
        <v>0</v>
      </c>
      <c r="D66" s="500">
        <v>0</v>
      </c>
    </row>
    <row r="67" spans="1:4">
      <c r="A67" s="499" t="s">
        <v>2596</v>
      </c>
      <c r="B67" s="497">
        <v>31835.4</v>
      </c>
      <c r="C67" s="497">
        <v>0</v>
      </c>
      <c r="D67" s="500">
        <v>0</v>
      </c>
    </row>
    <row r="68" spans="1:4" ht="15" customHeight="1">
      <c r="A68" s="502" t="s">
        <v>2565</v>
      </c>
      <c r="B68" s="493">
        <f>B69+B72</f>
        <v>48899.4</v>
      </c>
      <c r="C68" s="493">
        <f t="shared" ref="C68:D68" si="27">C69+C72</f>
        <v>9387.8809999999994</v>
      </c>
      <c r="D68" s="494">
        <f t="shared" si="27"/>
        <v>0</v>
      </c>
    </row>
    <row r="69" spans="1:4">
      <c r="A69" s="495" t="s">
        <v>2569</v>
      </c>
      <c r="B69" s="493">
        <f>B70+B71</f>
        <v>3690.6000000000004</v>
      </c>
      <c r="C69" s="493">
        <f t="shared" ref="C69:D69" si="28">C70+C71</f>
        <v>3690.5209999999997</v>
      </c>
      <c r="D69" s="494">
        <f t="shared" si="28"/>
        <v>0</v>
      </c>
    </row>
    <row r="70" spans="1:4" ht="25.5">
      <c r="A70" s="499" t="s">
        <v>2597</v>
      </c>
      <c r="B70" s="497">
        <v>1107.2</v>
      </c>
      <c r="C70" s="497">
        <v>1107.1559999999999</v>
      </c>
      <c r="D70" s="500">
        <v>0</v>
      </c>
    </row>
    <row r="71" spans="1:4" ht="25.5">
      <c r="A71" s="499" t="s">
        <v>2598</v>
      </c>
      <c r="B71" s="497">
        <v>2583.4</v>
      </c>
      <c r="C71" s="497">
        <v>2583.3649999999998</v>
      </c>
      <c r="D71" s="500">
        <v>0</v>
      </c>
    </row>
    <row r="72" spans="1:4">
      <c r="A72" s="503" t="s">
        <v>2566</v>
      </c>
      <c r="B72" s="493">
        <f>B73</f>
        <v>45208.800000000003</v>
      </c>
      <c r="C72" s="493">
        <f t="shared" ref="C72:D72" si="29">C73</f>
        <v>5697.36</v>
      </c>
      <c r="D72" s="494">
        <f t="shared" si="29"/>
        <v>0</v>
      </c>
    </row>
    <row r="73" spans="1:4">
      <c r="A73" s="499" t="s">
        <v>2599</v>
      </c>
      <c r="B73" s="497">
        <v>45208.800000000003</v>
      </c>
      <c r="C73" s="497">
        <v>5697.36</v>
      </c>
      <c r="D73" s="500">
        <v>0</v>
      </c>
    </row>
    <row r="74" spans="1:4">
      <c r="A74" s="504" t="s">
        <v>2600</v>
      </c>
      <c r="B74" s="490">
        <f>B75+B79+B83</f>
        <v>375488.19999999995</v>
      </c>
      <c r="C74" s="490">
        <f t="shared" ref="C74:D74" si="30">C75+C79+C83</f>
        <v>0</v>
      </c>
      <c r="D74" s="491">
        <f t="shared" si="30"/>
        <v>19527.5</v>
      </c>
    </row>
    <row r="75" spans="1:4">
      <c r="A75" s="492" t="s">
        <v>2573</v>
      </c>
      <c r="B75" s="493">
        <f>B76</f>
        <v>69196.899999999994</v>
      </c>
      <c r="C75" s="493">
        <f t="shared" ref="C75:D75" si="31">C76</f>
        <v>0</v>
      </c>
      <c r="D75" s="494">
        <f t="shared" si="31"/>
        <v>6690.5</v>
      </c>
    </row>
    <row r="76" spans="1:4">
      <c r="A76" s="495" t="s">
        <v>2574</v>
      </c>
      <c r="B76" s="493">
        <f>B77+B78</f>
        <v>69196.899999999994</v>
      </c>
      <c r="C76" s="493">
        <f t="shared" ref="C76:D76" si="32">C77+C78</f>
        <v>0</v>
      </c>
      <c r="D76" s="494">
        <f t="shared" si="32"/>
        <v>6690.5</v>
      </c>
    </row>
    <row r="77" spans="1:4">
      <c r="A77" s="499" t="s">
        <v>2601</v>
      </c>
      <c r="B77" s="497">
        <v>32717.5</v>
      </c>
      <c r="C77" s="497">
        <v>0</v>
      </c>
      <c r="D77" s="965">
        <v>6690.5</v>
      </c>
    </row>
    <row r="78" spans="1:4">
      <c r="A78" s="499" t="s">
        <v>2602</v>
      </c>
      <c r="B78" s="497">
        <v>36479.4</v>
      </c>
      <c r="C78" s="497">
        <v>0</v>
      </c>
      <c r="D78" s="966"/>
    </row>
    <row r="79" spans="1:4">
      <c r="A79" s="492" t="s">
        <v>2550</v>
      </c>
      <c r="B79" s="493">
        <f>B80</f>
        <v>250504.8</v>
      </c>
      <c r="C79" s="493">
        <f t="shared" ref="C79:D79" si="33">C80</f>
        <v>0</v>
      </c>
      <c r="D79" s="494">
        <f t="shared" si="33"/>
        <v>0</v>
      </c>
    </row>
    <row r="80" spans="1:4">
      <c r="A80" s="495" t="s">
        <v>2551</v>
      </c>
      <c r="B80" s="493">
        <f>B81+B82</f>
        <v>250504.8</v>
      </c>
      <c r="C80" s="493">
        <f t="shared" ref="C80:D80" si="34">C81+C82</f>
        <v>0</v>
      </c>
      <c r="D80" s="494">
        <f t="shared" si="34"/>
        <v>0</v>
      </c>
    </row>
    <row r="81" spans="1:4" ht="38.25">
      <c r="A81" s="499" t="s">
        <v>2603</v>
      </c>
      <c r="B81" s="497">
        <v>120000</v>
      </c>
      <c r="C81" s="497">
        <v>0</v>
      </c>
      <c r="D81" s="500">
        <v>0</v>
      </c>
    </row>
    <row r="82" spans="1:4" ht="38.25">
      <c r="A82" s="499" t="s">
        <v>2604</v>
      </c>
      <c r="B82" s="497">
        <v>130504.8</v>
      </c>
      <c r="C82" s="497">
        <v>0</v>
      </c>
      <c r="D82" s="500">
        <v>0</v>
      </c>
    </row>
    <row r="83" spans="1:4" ht="25.5">
      <c r="A83" s="492" t="s">
        <v>2565</v>
      </c>
      <c r="B83" s="493">
        <f t="shared" ref="B83:D83" si="35">B84</f>
        <v>55786.5</v>
      </c>
      <c r="C83" s="493">
        <f t="shared" si="35"/>
        <v>0</v>
      </c>
      <c r="D83" s="494">
        <f t="shared" si="35"/>
        <v>12837</v>
      </c>
    </row>
    <row r="84" spans="1:4">
      <c r="A84" s="495" t="s">
        <v>2605</v>
      </c>
      <c r="B84" s="493">
        <f>B85+B86</f>
        <v>55786.5</v>
      </c>
      <c r="C84" s="493">
        <f>C85+C86</f>
        <v>0</v>
      </c>
      <c r="D84" s="494">
        <f>D85+D86</f>
        <v>12837</v>
      </c>
    </row>
    <row r="85" spans="1:4" ht="25.5">
      <c r="A85" s="499" t="s">
        <v>2606</v>
      </c>
      <c r="B85" s="497">
        <v>23229</v>
      </c>
      <c r="C85" s="497">
        <v>0</v>
      </c>
      <c r="D85" s="965">
        <v>12837</v>
      </c>
    </row>
    <row r="86" spans="1:4" ht="25.5">
      <c r="A86" s="499" t="s">
        <v>2607</v>
      </c>
      <c r="B86" s="497">
        <v>32557.5</v>
      </c>
      <c r="C86" s="497">
        <v>0</v>
      </c>
      <c r="D86" s="966"/>
    </row>
    <row r="87" spans="1:4">
      <c r="A87" s="504" t="s">
        <v>2608</v>
      </c>
      <c r="B87" s="490">
        <f>B88</f>
        <v>6650</v>
      </c>
      <c r="C87" s="490">
        <f t="shared" ref="C87:D89" si="36">C88</f>
        <v>0</v>
      </c>
      <c r="D87" s="491">
        <f t="shared" si="36"/>
        <v>0</v>
      </c>
    </row>
    <row r="88" spans="1:4">
      <c r="A88" s="492" t="s">
        <v>2573</v>
      </c>
      <c r="B88" s="493">
        <f>B89</f>
        <v>6650</v>
      </c>
      <c r="C88" s="493">
        <f t="shared" si="36"/>
        <v>0</v>
      </c>
      <c r="D88" s="494">
        <f t="shared" si="36"/>
        <v>0</v>
      </c>
    </row>
    <row r="89" spans="1:4">
      <c r="A89" s="495" t="s">
        <v>2587</v>
      </c>
      <c r="B89" s="493">
        <f>B90</f>
        <v>6650</v>
      </c>
      <c r="C89" s="493">
        <f t="shared" si="36"/>
        <v>0</v>
      </c>
      <c r="D89" s="494">
        <f t="shared" si="36"/>
        <v>0</v>
      </c>
    </row>
    <row r="90" spans="1:4">
      <c r="A90" s="499" t="s">
        <v>2609</v>
      </c>
      <c r="B90" s="497">
        <v>6650</v>
      </c>
      <c r="C90" s="497">
        <v>0</v>
      </c>
      <c r="D90" s="500">
        <v>0</v>
      </c>
    </row>
    <row r="91" spans="1:4">
      <c r="A91" s="489" t="s">
        <v>2610</v>
      </c>
      <c r="B91" s="490">
        <f>B92+B95</f>
        <v>32614.6</v>
      </c>
      <c r="C91" s="490">
        <f>C92+C95</f>
        <v>313.58600000000001</v>
      </c>
      <c r="D91" s="491">
        <f>D92+D95</f>
        <v>182.5</v>
      </c>
    </row>
    <row r="92" spans="1:4">
      <c r="A92" s="492" t="s">
        <v>2573</v>
      </c>
      <c r="B92" s="493">
        <f t="shared" ref="B92:D93" si="37">B93</f>
        <v>6227.3</v>
      </c>
      <c r="C92" s="493">
        <f t="shared" si="37"/>
        <v>0</v>
      </c>
      <c r="D92" s="494">
        <f t="shared" si="37"/>
        <v>0</v>
      </c>
    </row>
    <row r="93" spans="1:4">
      <c r="A93" s="507" t="s">
        <v>2587</v>
      </c>
      <c r="B93" s="493">
        <f>B94</f>
        <v>6227.3</v>
      </c>
      <c r="C93" s="493">
        <f t="shared" si="37"/>
        <v>0</v>
      </c>
      <c r="D93" s="494">
        <f t="shared" si="37"/>
        <v>0</v>
      </c>
    </row>
    <row r="94" spans="1:4">
      <c r="A94" s="506" t="s">
        <v>2611</v>
      </c>
      <c r="B94" s="497">
        <v>6227.3</v>
      </c>
      <c r="C94" s="497">
        <v>0</v>
      </c>
      <c r="D94" s="500">
        <v>0</v>
      </c>
    </row>
    <row r="95" spans="1:4" ht="25.5">
      <c r="A95" s="492" t="s">
        <v>2565</v>
      </c>
      <c r="B95" s="493">
        <f>B96</f>
        <v>26387.3</v>
      </c>
      <c r="C95" s="493">
        <f t="shared" ref="C95:D95" si="38">C96</f>
        <v>313.58600000000001</v>
      </c>
      <c r="D95" s="494">
        <f t="shared" si="38"/>
        <v>182.5</v>
      </c>
    </row>
    <row r="96" spans="1:4">
      <c r="A96" s="503" t="s">
        <v>2566</v>
      </c>
      <c r="B96" s="493">
        <f>B97+B98</f>
        <v>26387.3</v>
      </c>
      <c r="C96" s="493">
        <f t="shared" ref="C96:D96" si="39">C97+C98</f>
        <v>313.58600000000001</v>
      </c>
      <c r="D96" s="494">
        <f t="shared" si="39"/>
        <v>182.5</v>
      </c>
    </row>
    <row r="97" spans="1:4" ht="25.5">
      <c r="A97" s="499" t="s">
        <v>2612</v>
      </c>
      <c r="B97" s="497">
        <v>17282.5</v>
      </c>
      <c r="C97" s="497">
        <v>182.48599999999999</v>
      </c>
      <c r="D97" s="500">
        <v>182.5</v>
      </c>
    </row>
    <row r="98" spans="1:4">
      <c r="A98" s="499" t="s">
        <v>2613</v>
      </c>
      <c r="B98" s="497">
        <v>9104.7999999999993</v>
      </c>
      <c r="C98" s="497">
        <v>131.1</v>
      </c>
      <c r="D98" s="500">
        <v>0</v>
      </c>
    </row>
    <row r="99" spans="1:4">
      <c r="A99" s="489" t="s">
        <v>2614</v>
      </c>
      <c r="B99" s="490">
        <f t="shared" ref="B99:D101" si="40">B100</f>
        <v>5471.3</v>
      </c>
      <c r="C99" s="490">
        <f t="shared" si="40"/>
        <v>5471.2809999999999</v>
      </c>
      <c r="D99" s="491">
        <f t="shared" si="40"/>
        <v>5471.3</v>
      </c>
    </row>
    <row r="100" spans="1:4">
      <c r="A100" s="492" t="s">
        <v>2550</v>
      </c>
      <c r="B100" s="493">
        <f t="shared" si="40"/>
        <v>5471.3</v>
      </c>
      <c r="C100" s="493">
        <f t="shared" si="40"/>
        <v>5471.2809999999999</v>
      </c>
      <c r="D100" s="494">
        <f t="shared" si="40"/>
        <v>5471.3</v>
      </c>
    </row>
    <row r="101" spans="1:4">
      <c r="A101" s="495" t="s">
        <v>2551</v>
      </c>
      <c r="B101" s="493">
        <f t="shared" si="40"/>
        <v>5471.3</v>
      </c>
      <c r="C101" s="493">
        <f t="shared" si="40"/>
        <v>5471.2809999999999</v>
      </c>
      <c r="D101" s="494">
        <f t="shared" si="40"/>
        <v>5471.3</v>
      </c>
    </row>
    <row r="102" spans="1:4" ht="25.5">
      <c r="A102" s="496" t="s">
        <v>2615</v>
      </c>
      <c r="B102" s="497">
        <v>5471.3</v>
      </c>
      <c r="C102" s="497">
        <v>5471.2809999999999</v>
      </c>
      <c r="D102" s="500">
        <v>5471.3</v>
      </c>
    </row>
    <row r="103" spans="1:4">
      <c r="A103" s="508" t="s">
        <v>2616</v>
      </c>
      <c r="B103" s="490">
        <f>B6+B11+B21+B29+B40+B44+B51+B59+B63+B74+B87+B91+B99</f>
        <v>2127402.1869999995</v>
      </c>
      <c r="C103" s="490">
        <f t="shared" ref="C103:D103" si="41">C6+C11+C21+C29+C40+C44+C51+C59+C63+C74+C87+C91+C99</f>
        <v>45420.555000000008</v>
      </c>
      <c r="D103" s="491">
        <f t="shared" si="41"/>
        <v>173475</v>
      </c>
    </row>
    <row r="104" spans="1:4">
      <c r="A104" s="509" t="s">
        <v>2617</v>
      </c>
      <c r="B104" s="497">
        <f>B9+B19+B27+B32+B34+B38+B54+B57+B66+B77+B81+B85</f>
        <v>1066656.04</v>
      </c>
      <c r="C104" s="497">
        <f t="shared" ref="C104" si="42">C9+C19+C27+C32+C34+C38+C54+C57+C66+C77+C81+C85</f>
        <v>0</v>
      </c>
      <c r="D104" s="965">
        <f>D9+D14+D15+D18+D19+D20+D24+D27+D28+D32+D34+D38+D43+D47+D50+D54+D55+D57+D62+D66+D67+D70+D71+D73+D77+D81+D82+D85+D90+D94+D97+D98+D102</f>
        <v>173475</v>
      </c>
    </row>
    <row r="105" spans="1:4" s="512" customFormat="1" ht="15.75" thickBot="1">
      <c r="A105" s="510" t="s">
        <v>2618</v>
      </c>
      <c r="B105" s="511">
        <f>B10+B14+B15+B18+B20+B24+B28+B33+B35+B39+B43+B47+B50+B55+B58+B62+B67+B70+B71+B73+B78+B82+B86+B90+B94+B97+B98+B102</f>
        <v>1060746.1470000001</v>
      </c>
      <c r="C105" s="511">
        <f t="shared" ref="C105" si="43">C10+C14+C15+C18+C20+C24+C28+C33+C35+C39+C43+C47+C50+C55+C58+C62+C67+C70+C71+C73+C78+C82+C86+C90+C94+C97+C98+C102</f>
        <v>45420.555</v>
      </c>
      <c r="D105" s="967"/>
    </row>
    <row r="106" spans="1:4" s="512" customFormat="1" ht="15">
      <c r="A106" s="513"/>
      <c r="B106" s="514"/>
      <c r="C106" s="514"/>
      <c r="D106" s="515"/>
    </row>
    <row r="107" spans="1:4" s="512" customFormat="1" ht="15">
      <c r="A107" s="513"/>
      <c r="B107" s="514"/>
      <c r="C107" s="514"/>
      <c r="D107" s="515"/>
    </row>
    <row r="108" spans="1:4" s="512" customFormat="1" ht="20.25">
      <c r="A108" s="516" t="s">
        <v>2619</v>
      </c>
      <c r="B108" s="517"/>
      <c r="C108" s="517"/>
      <c r="D108" s="518" t="s">
        <v>2620</v>
      </c>
    </row>
    <row r="109" spans="1:4" s="512" customFormat="1" ht="15">
      <c r="A109" s="519"/>
      <c r="B109" s="514"/>
      <c r="C109" s="514"/>
      <c r="D109" s="520"/>
    </row>
    <row r="110" spans="1:4" s="512" customFormat="1" ht="15">
      <c r="A110" s="519"/>
      <c r="B110" s="514"/>
      <c r="C110" s="514"/>
      <c r="D110" s="515"/>
    </row>
    <row r="111" spans="1:4">
      <c r="A111" s="519" t="s">
        <v>2621</v>
      </c>
      <c r="B111" s="521"/>
      <c r="C111" s="521"/>
      <c r="D111" s="521"/>
    </row>
    <row r="113" spans="1:4" ht="15">
      <c r="A113"/>
      <c r="B113"/>
      <c r="C113"/>
      <c r="D113"/>
    </row>
    <row r="114" spans="1:4" hidden="1">
      <c r="A114" s="522" t="s">
        <v>2573</v>
      </c>
      <c r="B114" s="523" t="e">
        <f>B49+B50+B55+B57+B58+B94+#REF!</f>
        <v>#REF!</v>
      </c>
      <c r="C114" s="523"/>
      <c r="D114" s="523" t="e">
        <f>D49+D50+D55+D57+D58+D94+#REF!</f>
        <v>#REF!</v>
      </c>
    </row>
    <row r="115" spans="1:4" hidden="1">
      <c r="A115" s="524" t="s">
        <v>2550</v>
      </c>
      <c r="B115" s="523" t="e">
        <f>B14+#REF!</f>
        <v>#REF!</v>
      </c>
      <c r="C115" s="523"/>
      <c r="D115" s="523" t="e">
        <f>D14+#REF!</f>
        <v>#REF!</v>
      </c>
    </row>
    <row r="116" spans="1:4" ht="25.5" hidden="1">
      <c r="A116" s="522" t="s">
        <v>2555</v>
      </c>
      <c r="B116" s="525" t="e">
        <f>#REF!</f>
        <v>#REF!</v>
      </c>
      <c r="C116" s="525"/>
      <c r="D116" s="525" t="e">
        <f>#REF!</f>
        <v>#REF!</v>
      </c>
    </row>
    <row r="117" spans="1:4" ht="25.5" hidden="1">
      <c r="A117" s="526" t="s">
        <v>2565</v>
      </c>
      <c r="B117" s="525" t="e">
        <f>#REF!</f>
        <v>#REF!</v>
      </c>
      <c r="C117" s="525"/>
      <c r="D117" s="525" t="e">
        <f>#REF!</f>
        <v>#REF!</v>
      </c>
    </row>
    <row r="118" spans="1:4" ht="25.5" hidden="1">
      <c r="A118" s="527" t="s">
        <v>2622</v>
      </c>
      <c r="B118" s="525" t="e">
        <f>B102+#REF!</f>
        <v>#REF!</v>
      </c>
      <c r="C118" s="525"/>
      <c r="D118" s="525" t="e">
        <f>D102+#REF!</f>
        <v>#REF!</v>
      </c>
    </row>
    <row r="119" spans="1:4" hidden="1">
      <c r="B119" s="529" t="e">
        <f>B114+B115+B116+B117+B118</f>
        <v>#REF!</v>
      </c>
      <c r="C119" s="529"/>
      <c r="D119" s="529" t="e">
        <f>D114+D115+D116+D117+D118</f>
        <v>#REF!</v>
      </c>
    </row>
    <row r="120" spans="1:4" hidden="1">
      <c r="B120" s="529"/>
      <c r="C120" s="529"/>
      <c r="D120" s="529"/>
    </row>
    <row r="122" spans="1:4">
      <c r="A122" s="519"/>
    </row>
  </sheetData>
  <mergeCells count="14">
    <mergeCell ref="D85:D86"/>
    <mergeCell ref="D104:D105"/>
    <mergeCell ref="D9:D10"/>
    <mergeCell ref="D32:D33"/>
    <mergeCell ref="D34:D35"/>
    <mergeCell ref="D38:D39"/>
    <mergeCell ref="D57:D58"/>
    <mergeCell ref="D77:D78"/>
    <mergeCell ref="A1:D1"/>
    <mergeCell ref="A2:D2"/>
    <mergeCell ref="A4:A5"/>
    <mergeCell ref="B4:B5"/>
    <mergeCell ref="C4:C5"/>
    <mergeCell ref="D4:D5"/>
  </mergeCells>
  <printOptions horizontalCentered="1"/>
  <pageMargins left="0.39370078740157483" right="0.39370078740157483" top="0.39370078740157483" bottom="0.39370078740157483" header="0.31496062992125984" footer="0.31496062992125984"/>
  <pageSetup paperSize="9" scale="75" fitToHeight="0" orientation="portrait" horizontalDpi="300" verticalDpi="300" r:id="rId1"/>
  <headerFooter differentFirst="1">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21" workbookViewId="0">
      <selection activeCell="D27" sqref="D27:D28"/>
    </sheetView>
  </sheetViews>
  <sheetFormatPr defaultColWidth="9.140625" defaultRowHeight="12.75"/>
  <cols>
    <col min="1" max="1" width="72.85546875" style="531" customWidth="1"/>
    <col min="2" max="2" width="12.42578125" style="592" customWidth="1"/>
    <col min="3" max="3" width="15" style="592" customWidth="1"/>
    <col min="4" max="4" width="11" style="592" customWidth="1"/>
    <col min="5" max="16384" width="9.140625" style="485"/>
  </cols>
  <sheetData>
    <row r="1" spans="1:4">
      <c r="A1" s="968" t="s">
        <v>2623</v>
      </c>
      <c r="B1" s="969"/>
      <c r="C1" s="969"/>
      <c r="D1" s="969"/>
    </row>
    <row r="2" spans="1:4">
      <c r="A2" s="968" t="s">
        <v>2624</v>
      </c>
      <c r="B2" s="969"/>
      <c r="C2" s="969"/>
      <c r="D2" s="969"/>
    </row>
    <row r="3" spans="1:4">
      <c r="A3" s="968" t="s">
        <v>2625</v>
      </c>
      <c r="B3" s="969"/>
      <c r="C3" s="969"/>
      <c r="D3" s="969"/>
    </row>
    <row r="4" spans="1:4" ht="13.5" thickBot="1">
      <c r="A4" s="531" t="s">
        <v>2541</v>
      </c>
      <c r="B4" s="528"/>
      <c r="C4" s="528"/>
      <c r="D4" s="488" t="s">
        <v>2543</v>
      </c>
    </row>
    <row r="5" spans="1:4" ht="26.25" customHeight="1">
      <c r="A5" s="970" t="s">
        <v>2544</v>
      </c>
      <c r="B5" s="961" t="s">
        <v>2545</v>
      </c>
      <c r="C5" s="973" t="s">
        <v>2546</v>
      </c>
      <c r="D5" s="975" t="s">
        <v>2547</v>
      </c>
    </row>
    <row r="6" spans="1:4" ht="32.25" customHeight="1" thickBot="1">
      <c r="A6" s="971" t="s">
        <v>2541</v>
      </c>
      <c r="B6" s="972"/>
      <c r="C6" s="974"/>
      <c r="D6" s="976"/>
    </row>
    <row r="7" spans="1:4" ht="13.5" thickBot="1">
      <c r="A7" s="977" t="s">
        <v>319</v>
      </c>
      <c r="B7" s="978"/>
      <c r="C7" s="979"/>
      <c r="D7" s="979"/>
    </row>
    <row r="8" spans="1:4" s="535" customFormat="1" ht="13.5">
      <c r="A8" s="532" t="s">
        <v>2626</v>
      </c>
      <c r="B8" s="533">
        <f>B9</f>
        <v>288647.40000000002</v>
      </c>
      <c r="C8" s="533">
        <f>C9</f>
        <v>7691.5</v>
      </c>
      <c r="D8" s="534">
        <f>D9</f>
        <v>27120.2</v>
      </c>
    </row>
    <row r="9" spans="1:4" s="535" customFormat="1">
      <c r="A9" s="508" t="s">
        <v>2627</v>
      </c>
      <c r="B9" s="536">
        <f>B10+B11+B12+B13+B14</f>
        <v>288647.40000000002</v>
      </c>
      <c r="C9" s="536">
        <f t="shared" ref="C9:D9" si="0">C10+C11+C12+C13+C14</f>
        <v>7691.5</v>
      </c>
      <c r="D9" s="537">
        <f t="shared" si="0"/>
        <v>27120.2</v>
      </c>
    </row>
    <row r="10" spans="1:4" s="535" customFormat="1" ht="25.5">
      <c r="A10" s="538" t="s">
        <v>2628</v>
      </c>
      <c r="B10" s="523">
        <v>74476.800000000003</v>
      </c>
      <c r="C10" s="539">
        <v>5987.7</v>
      </c>
      <c r="D10" s="540">
        <v>0</v>
      </c>
    </row>
    <row r="11" spans="1:4">
      <c r="A11" s="538" t="s">
        <v>2629</v>
      </c>
      <c r="B11" s="523">
        <v>112017</v>
      </c>
      <c r="C11" s="539">
        <v>0</v>
      </c>
      <c r="D11" s="540">
        <v>19191.2</v>
      </c>
    </row>
    <row r="12" spans="1:4">
      <c r="A12" s="541" t="s">
        <v>2630</v>
      </c>
      <c r="B12" s="523">
        <v>13153.6</v>
      </c>
      <c r="C12" s="539">
        <v>1703.8</v>
      </c>
      <c r="D12" s="540">
        <v>7929</v>
      </c>
    </row>
    <row r="13" spans="1:4" ht="25.5">
      <c r="A13" s="542" t="s">
        <v>2631</v>
      </c>
      <c r="B13" s="523">
        <v>69000</v>
      </c>
      <c r="C13" s="539">
        <v>0</v>
      </c>
      <c r="D13" s="540">
        <v>0</v>
      </c>
    </row>
    <row r="14" spans="1:4">
      <c r="A14" s="541" t="s">
        <v>2632</v>
      </c>
      <c r="B14" s="523">
        <v>20000</v>
      </c>
      <c r="C14" s="539">
        <v>0</v>
      </c>
      <c r="D14" s="540">
        <v>0</v>
      </c>
    </row>
    <row r="15" spans="1:4" ht="13.5">
      <c r="A15" s="543" t="s">
        <v>2573</v>
      </c>
      <c r="B15" s="544">
        <f t="shared" ref="B15:D15" si="1">B16</f>
        <v>124422.5</v>
      </c>
      <c r="C15" s="544">
        <f t="shared" si="1"/>
        <v>0</v>
      </c>
      <c r="D15" s="545">
        <f t="shared" si="1"/>
        <v>0</v>
      </c>
    </row>
    <row r="16" spans="1:4">
      <c r="A16" s="508" t="s">
        <v>988</v>
      </c>
      <c r="B16" s="536">
        <f>B17+B18+B19+B20</f>
        <v>124422.5</v>
      </c>
      <c r="C16" s="536">
        <f t="shared" ref="C16:D16" si="2">C17+C18+C19+C20</f>
        <v>0</v>
      </c>
      <c r="D16" s="537">
        <f t="shared" si="2"/>
        <v>0</v>
      </c>
    </row>
    <row r="17" spans="1:4" ht="25.5">
      <c r="A17" s="541" t="s">
        <v>2633</v>
      </c>
      <c r="B17" s="497">
        <v>94078.5</v>
      </c>
      <c r="C17" s="546">
        <v>0</v>
      </c>
      <c r="D17" s="500">
        <v>0</v>
      </c>
    </row>
    <row r="18" spans="1:4" ht="25.5">
      <c r="A18" s="547" t="s">
        <v>2634</v>
      </c>
      <c r="B18" s="497">
        <v>3000</v>
      </c>
      <c r="C18" s="546">
        <v>0</v>
      </c>
      <c r="D18" s="500">
        <v>0</v>
      </c>
    </row>
    <row r="19" spans="1:4">
      <c r="A19" s="548" t="s">
        <v>2632</v>
      </c>
      <c r="B19" s="497">
        <v>20000</v>
      </c>
      <c r="C19" s="546">
        <v>0</v>
      </c>
      <c r="D19" s="500">
        <v>0</v>
      </c>
    </row>
    <row r="20" spans="1:4" ht="25.5">
      <c r="A20" s="548" t="s">
        <v>2635</v>
      </c>
      <c r="B20" s="497">
        <v>7344</v>
      </c>
      <c r="C20" s="546">
        <v>0</v>
      </c>
      <c r="D20" s="500">
        <v>0</v>
      </c>
    </row>
    <row r="21" spans="1:4" ht="13.5">
      <c r="A21" s="543" t="s">
        <v>2550</v>
      </c>
      <c r="B21" s="549">
        <f>B22</f>
        <v>698015.00000000012</v>
      </c>
      <c r="C21" s="549">
        <f>C22</f>
        <v>44098.2</v>
      </c>
      <c r="D21" s="550">
        <f t="shared" ref="D21" si="3">D22</f>
        <v>204613.8</v>
      </c>
    </row>
    <row r="22" spans="1:4">
      <c r="A22" s="508" t="s">
        <v>1341</v>
      </c>
      <c r="B22" s="536">
        <f>B23+B24+B25+B26+B27+B28+B29+B30</f>
        <v>698015.00000000012</v>
      </c>
      <c r="C22" s="536">
        <f t="shared" ref="C22:D22" si="4">C23+C24+C25+C26+C27+C28+C29+C30</f>
        <v>44098.2</v>
      </c>
      <c r="D22" s="537">
        <f t="shared" si="4"/>
        <v>204613.8</v>
      </c>
    </row>
    <row r="23" spans="1:4" ht="25.5">
      <c r="A23" s="551" t="s">
        <v>2636</v>
      </c>
      <c r="B23" s="497">
        <v>123059.6</v>
      </c>
      <c r="C23" s="546">
        <v>0</v>
      </c>
      <c r="D23" s="965">
        <f>26822.6+9562</f>
        <v>36384.6</v>
      </c>
    </row>
    <row r="24" spans="1:4">
      <c r="A24" s="551" t="s">
        <v>2637</v>
      </c>
      <c r="B24" s="497">
        <v>122958.3</v>
      </c>
      <c r="C24" s="546">
        <v>44098.2</v>
      </c>
      <c r="D24" s="966"/>
    </row>
    <row r="25" spans="1:4" ht="38.25">
      <c r="A25" s="541" t="s">
        <v>2638</v>
      </c>
      <c r="B25" s="552">
        <v>203039</v>
      </c>
      <c r="C25" s="546">
        <v>0</v>
      </c>
      <c r="D25" s="965">
        <v>74326.8</v>
      </c>
    </row>
    <row r="26" spans="1:4" ht="38.25">
      <c r="A26" s="541" t="s">
        <v>2639</v>
      </c>
      <c r="B26" s="552">
        <v>82932.800000000003</v>
      </c>
      <c r="C26" s="546">
        <v>0</v>
      </c>
      <c r="D26" s="966"/>
    </row>
    <row r="27" spans="1:4" ht="38.25">
      <c r="A27" s="541" t="s">
        <v>2640</v>
      </c>
      <c r="B27" s="552">
        <v>68609.3</v>
      </c>
      <c r="C27" s="546">
        <v>0</v>
      </c>
      <c r="D27" s="965">
        <v>93902.399999999994</v>
      </c>
    </row>
    <row r="28" spans="1:4" ht="38.25">
      <c r="A28" s="541" t="s">
        <v>2641</v>
      </c>
      <c r="B28" s="552">
        <v>67417.5</v>
      </c>
      <c r="C28" s="546">
        <v>0</v>
      </c>
      <c r="D28" s="966"/>
    </row>
    <row r="29" spans="1:4">
      <c r="A29" s="542" t="s">
        <v>2642</v>
      </c>
      <c r="B29" s="552">
        <v>9998.5</v>
      </c>
      <c r="C29" s="546">
        <v>0</v>
      </c>
      <c r="D29" s="500">
        <v>0</v>
      </c>
    </row>
    <row r="30" spans="1:4">
      <c r="A30" s="548" t="s">
        <v>2632</v>
      </c>
      <c r="B30" s="552">
        <v>20000</v>
      </c>
      <c r="C30" s="546">
        <v>0</v>
      </c>
      <c r="D30" s="500">
        <v>0</v>
      </c>
    </row>
    <row r="31" spans="1:4" ht="27">
      <c r="A31" s="543" t="s">
        <v>2555</v>
      </c>
      <c r="B31" s="544">
        <f>B32+B36</f>
        <v>526983.30000000005</v>
      </c>
      <c r="C31" s="544">
        <f>C32+C36</f>
        <v>28827.200000000001</v>
      </c>
      <c r="D31" s="545">
        <f>D32+D36</f>
        <v>40881.300000000003</v>
      </c>
    </row>
    <row r="32" spans="1:4" ht="13.5">
      <c r="A32" s="553" t="s">
        <v>1368</v>
      </c>
      <c r="B32" s="544">
        <f>B33+B34+B35</f>
        <v>76915.100000000006</v>
      </c>
      <c r="C32" s="544">
        <f t="shared" ref="C32:D32" si="5">C33+C34+C35</f>
        <v>0</v>
      </c>
      <c r="D32" s="545">
        <f t="shared" si="5"/>
        <v>0</v>
      </c>
    </row>
    <row r="33" spans="1:6" ht="51">
      <c r="A33" s="554" t="s">
        <v>2643</v>
      </c>
      <c r="B33" s="552">
        <v>53931.7</v>
      </c>
      <c r="C33" s="555">
        <v>0</v>
      </c>
      <c r="D33" s="965">
        <v>0</v>
      </c>
    </row>
    <row r="34" spans="1:6" ht="51">
      <c r="A34" s="554" t="s">
        <v>2644</v>
      </c>
      <c r="B34" s="552">
        <v>22028.400000000001</v>
      </c>
      <c r="C34" s="555">
        <v>0</v>
      </c>
      <c r="D34" s="966"/>
    </row>
    <row r="35" spans="1:6" ht="38.25">
      <c r="A35" s="554" t="s">
        <v>2645</v>
      </c>
      <c r="B35" s="552">
        <v>955</v>
      </c>
      <c r="C35" s="555">
        <v>0</v>
      </c>
      <c r="D35" s="500">
        <v>0</v>
      </c>
    </row>
    <row r="36" spans="1:6" ht="13.5">
      <c r="A36" s="504" t="s">
        <v>1390</v>
      </c>
      <c r="B36" s="544">
        <f>B37+B38+B39+B40</f>
        <v>450068.2</v>
      </c>
      <c r="C36" s="544">
        <f>C37+C38+C39+C40</f>
        <v>28827.200000000001</v>
      </c>
      <c r="D36" s="545">
        <f>D37+D38+D39+D40</f>
        <v>40881.300000000003</v>
      </c>
    </row>
    <row r="37" spans="1:6" ht="51">
      <c r="A37" s="499" t="s">
        <v>2646</v>
      </c>
      <c r="B37" s="556">
        <v>179260</v>
      </c>
      <c r="C37" s="557">
        <v>0</v>
      </c>
      <c r="D37" s="965">
        <v>40881.300000000003</v>
      </c>
      <c r="F37" s="558"/>
    </row>
    <row r="38" spans="1:6" ht="51">
      <c r="A38" s="499" t="s">
        <v>2647</v>
      </c>
      <c r="B38" s="556">
        <v>244323.9</v>
      </c>
      <c r="C38" s="557">
        <v>28827.200000000001</v>
      </c>
      <c r="D38" s="966"/>
      <c r="F38" s="558"/>
    </row>
    <row r="39" spans="1:6">
      <c r="A39" s="548" t="s">
        <v>2648</v>
      </c>
      <c r="B39" s="556">
        <v>10301.200000000001</v>
      </c>
      <c r="C39" s="557">
        <v>0</v>
      </c>
      <c r="D39" s="500">
        <v>0</v>
      </c>
    </row>
    <row r="40" spans="1:6" ht="51">
      <c r="A40" s="548" t="s">
        <v>2649</v>
      </c>
      <c r="B40" s="556">
        <v>16183.1</v>
      </c>
      <c r="C40" s="557">
        <v>0</v>
      </c>
      <c r="D40" s="500">
        <v>0</v>
      </c>
    </row>
    <row r="41" spans="1:6" ht="27">
      <c r="A41" s="543" t="s">
        <v>2565</v>
      </c>
      <c r="B41" s="559">
        <f t="shared" ref="B41:D41" si="6">B42</f>
        <v>165994.1</v>
      </c>
      <c r="C41" s="559">
        <f t="shared" si="6"/>
        <v>0</v>
      </c>
      <c r="D41" s="560">
        <f t="shared" si="6"/>
        <v>0</v>
      </c>
    </row>
    <row r="42" spans="1:6" ht="25.5">
      <c r="A42" s="561" t="s">
        <v>2650</v>
      </c>
      <c r="B42" s="490">
        <f>B43+B44+B45+B46</f>
        <v>165994.1</v>
      </c>
      <c r="C42" s="490">
        <f t="shared" ref="C42:D42" si="7">C43+C44+C45+C46</f>
        <v>0</v>
      </c>
      <c r="D42" s="491">
        <f t="shared" si="7"/>
        <v>0</v>
      </c>
    </row>
    <row r="43" spans="1:6" ht="25.5">
      <c r="A43" s="551" t="s">
        <v>2651</v>
      </c>
      <c r="B43" s="556">
        <v>46005</v>
      </c>
      <c r="C43" s="557">
        <v>0</v>
      </c>
      <c r="D43" s="500">
        <v>0</v>
      </c>
    </row>
    <row r="44" spans="1:6">
      <c r="A44" s="542" t="s">
        <v>2652</v>
      </c>
      <c r="B44" s="556">
        <v>43007.7</v>
      </c>
      <c r="C44" s="557">
        <v>0</v>
      </c>
      <c r="D44" s="500">
        <v>0</v>
      </c>
    </row>
    <row r="45" spans="1:6">
      <c r="A45" s="542" t="s">
        <v>2653</v>
      </c>
      <c r="B45" s="556">
        <v>39981.4</v>
      </c>
      <c r="C45" s="557">
        <v>0</v>
      </c>
      <c r="D45" s="500">
        <v>0</v>
      </c>
    </row>
    <row r="46" spans="1:6" ht="25.5">
      <c r="A46" s="562" t="s">
        <v>2654</v>
      </c>
      <c r="B46" s="556">
        <v>37000</v>
      </c>
      <c r="C46" s="557">
        <v>0</v>
      </c>
      <c r="D46" s="500">
        <v>0</v>
      </c>
    </row>
    <row r="47" spans="1:6" ht="27">
      <c r="A47" s="543" t="s">
        <v>2655</v>
      </c>
      <c r="B47" s="544">
        <f>B48</f>
        <v>34211.699999999997</v>
      </c>
      <c r="C47" s="544">
        <f>C48</f>
        <v>34211.699999999997</v>
      </c>
      <c r="D47" s="545">
        <f t="shared" ref="D47" si="8">D48</f>
        <v>24019.3</v>
      </c>
    </row>
    <row r="48" spans="1:6">
      <c r="A48" s="508" t="s">
        <v>1661</v>
      </c>
      <c r="B48" s="536">
        <f>B49</f>
        <v>34211.699999999997</v>
      </c>
      <c r="C48" s="536">
        <f>C49</f>
        <v>34211.699999999997</v>
      </c>
      <c r="D48" s="537">
        <f>D49</f>
        <v>24019.3</v>
      </c>
    </row>
    <row r="49" spans="1:10">
      <c r="A49" s="563" t="s">
        <v>2656</v>
      </c>
      <c r="B49" s="564">
        <v>34211.699999999997</v>
      </c>
      <c r="C49" s="565">
        <v>34211.699999999997</v>
      </c>
      <c r="D49" s="566">
        <v>24019.3</v>
      </c>
    </row>
    <row r="50" spans="1:10" ht="27">
      <c r="A50" s="567" t="s">
        <v>2559</v>
      </c>
      <c r="B50" s="544">
        <f>B51</f>
        <v>119084.5</v>
      </c>
      <c r="C50" s="544">
        <f t="shared" ref="C50:D50" si="9">C51</f>
        <v>0</v>
      </c>
      <c r="D50" s="545">
        <f t="shared" si="9"/>
        <v>4848</v>
      </c>
    </row>
    <row r="51" spans="1:10" ht="35.25" customHeight="1">
      <c r="A51" s="568" t="s">
        <v>2657</v>
      </c>
      <c r="B51" s="536">
        <f>B52+B53</f>
        <v>119084.5</v>
      </c>
      <c r="C51" s="536">
        <f t="shared" ref="C51:D51" si="10">C52+C53</f>
        <v>0</v>
      </c>
      <c r="D51" s="537">
        <f t="shared" si="10"/>
        <v>4848</v>
      </c>
    </row>
    <row r="52" spans="1:10" ht="28.5" customHeight="1">
      <c r="A52" s="548" t="s">
        <v>2658</v>
      </c>
      <c r="B52" s="569">
        <v>84550</v>
      </c>
      <c r="C52" s="569">
        <v>0</v>
      </c>
      <c r="D52" s="980">
        <v>4848</v>
      </c>
    </row>
    <row r="53" spans="1:10" ht="30" customHeight="1" thickBot="1">
      <c r="A53" s="570" t="s">
        <v>2659</v>
      </c>
      <c r="B53" s="571">
        <v>34534.5</v>
      </c>
      <c r="C53" s="571">
        <v>0</v>
      </c>
      <c r="D53" s="967"/>
    </row>
    <row r="54" spans="1:10" ht="13.5" thickBot="1">
      <c r="A54" s="981" t="s">
        <v>1583</v>
      </c>
      <c r="B54" s="981"/>
      <c r="C54" s="981"/>
      <c r="D54" s="981"/>
    </row>
    <row r="55" spans="1:10" ht="13.5">
      <c r="A55" s="532" t="s">
        <v>2660</v>
      </c>
      <c r="B55" s="533">
        <f>B56</f>
        <v>463953.1</v>
      </c>
      <c r="C55" s="533">
        <f>C56</f>
        <v>19601</v>
      </c>
      <c r="D55" s="534">
        <f>D56</f>
        <v>0</v>
      </c>
    </row>
    <row r="56" spans="1:10" s="572" customFormat="1">
      <c r="A56" s="508" t="s">
        <v>1894</v>
      </c>
      <c r="B56" s="536">
        <f>B57+B58+B59</f>
        <v>463953.1</v>
      </c>
      <c r="C56" s="536">
        <f t="shared" ref="C56:D56" si="11">C57+C58+C59</f>
        <v>19601</v>
      </c>
      <c r="D56" s="537">
        <f t="shared" si="11"/>
        <v>0</v>
      </c>
    </row>
    <row r="57" spans="1:10">
      <c r="A57" s="573" t="s">
        <v>2661</v>
      </c>
      <c r="B57" s="574">
        <v>74944.3</v>
      </c>
      <c r="C57" s="575">
        <v>15944.3</v>
      </c>
      <c r="D57" s="566">
        <v>0</v>
      </c>
    </row>
    <row r="58" spans="1:10" ht="25.5">
      <c r="A58" s="538" t="s">
        <v>2662</v>
      </c>
      <c r="B58" s="523">
        <v>100000</v>
      </c>
      <c r="C58" s="523">
        <v>0</v>
      </c>
      <c r="D58" s="965">
        <v>0</v>
      </c>
    </row>
    <row r="59" spans="1:10" ht="13.5" thickBot="1">
      <c r="A59" s="576" t="s">
        <v>2663</v>
      </c>
      <c r="B59" s="577">
        <v>289008.8</v>
      </c>
      <c r="C59" s="577">
        <v>3656.7</v>
      </c>
      <c r="D59" s="967"/>
    </row>
    <row r="60" spans="1:10" ht="15.75" thickBot="1">
      <c r="A60" s="982" t="s">
        <v>911</v>
      </c>
      <c r="B60" s="983"/>
      <c r="C60" s="983"/>
      <c r="D60" s="984"/>
      <c r="E60" s="578"/>
      <c r="F60" s="578"/>
      <c r="G60" s="578"/>
      <c r="H60" s="578"/>
      <c r="I60" s="578"/>
      <c r="J60" s="578"/>
    </row>
    <row r="61" spans="1:10" ht="27">
      <c r="A61" s="579" t="s">
        <v>2555</v>
      </c>
      <c r="B61" s="533">
        <f>B62</f>
        <v>33399.991000000002</v>
      </c>
      <c r="C61" s="533">
        <f t="shared" ref="C61:D61" si="12">C62</f>
        <v>0</v>
      </c>
      <c r="D61" s="534">
        <f t="shared" si="12"/>
        <v>0</v>
      </c>
    </row>
    <row r="62" spans="1:10">
      <c r="A62" s="495" t="s">
        <v>1368</v>
      </c>
      <c r="B62" s="580">
        <f>B63+B64</f>
        <v>33399.991000000002</v>
      </c>
      <c r="C62" s="580">
        <f t="shared" ref="C62:D62" si="13">C63+C64</f>
        <v>0</v>
      </c>
      <c r="D62" s="581">
        <f t="shared" si="13"/>
        <v>0</v>
      </c>
    </row>
    <row r="63" spans="1:10" ht="51">
      <c r="A63" s="548" t="s">
        <v>2664</v>
      </c>
      <c r="B63" s="523">
        <v>23714</v>
      </c>
      <c r="C63" s="523">
        <v>0</v>
      </c>
      <c r="D63" s="965">
        <v>0</v>
      </c>
    </row>
    <row r="64" spans="1:10" ht="51.75" thickBot="1">
      <c r="A64" s="570" t="s">
        <v>2665</v>
      </c>
      <c r="B64" s="577">
        <v>9685.991</v>
      </c>
      <c r="C64" s="577">
        <v>0</v>
      </c>
      <c r="D64" s="967"/>
    </row>
    <row r="65" spans="1:4">
      <c r="A65" s="582" t="s">
        <v>2666</v>
      </c>
      <c r="B65" s="583">
        <f>B8+B15+B21+B31+B41+B47+B50+B55+B61</f>
        <v>2454711.591</v>
      </c>
      <c r="C65" s="583">
        <f>C8+C15+C21+C31+C41+C47+C55</f>
        <v>134429.59999999998</v>
      </c>
      <c r="D65" s="584">
        <f>D8+D15+D21+D31+D41+D47+D50+D55+D61</f>
        <v>301482.59999999998</v>
      </c>
    </row>
    <row r="66" spans="1:4">
      <c r="A66" s="585" t="s">
        <v>2617</v>
      </c>
      <c r="B66" s="523">
        <f>B23+B25+B27+B33+B37+B52+B58+B63</f>
        <v>836163.6</v>
      </c>
      <c r="C66" s="523">
        <f>C23+C25+C27+C33+C37+C52+C58+C63</f>
        <v>0</v>
      </c>
      <c r="D66" s="965">
        <f>D10+D11+D12+D13+D14+D17+D18+D19+D20+D23+D25+D27+D29+D30+D33+D35+D37+D39+D40+D43+D44+D45+D46+D49+D52+D57+D58+D63</f>
        <v>301482.59999999998</v>
      </c>
    </row>
    <row r="67" spans="1:4">
      <c r="A67" s="585" t="s">
        <v>2618</v>
      </c>
      <c r="B67" s="523">
        <f>B10+B11+B12+B13+B14+B17+B18+B19+B20+B24+B26+B28+B29+B30+B34+B35+B38+B39+B40+B43+B44+B45+B46+B49+B53+B57+B59+B64</f>
        <v>1618547.9909999999</v>
      </c>
      <c r="C67" s="523">
        <f>C10+C11+C12+C13+C14+C17+C18+C19+C20+C24+C26+C28+C29+C30+C34+C35+C38+C39+C40+C43+C44+C45+C46+C49+C53+C57+C59+C64</f>
        <v>134429.6</v>
      </c>
      <c r="D67" s="966"/>
    </row>
    <row r="68" spans="1:4">
      <c r="A68" s="502" t="s">
        <v>2667</v>
      </c>
      <c r="B68" s="586">
        <f>B69+B70</f>
        <v>2127402.1869999999</v>
      </c>
      <c r="C68" s="586">
        <f>C69+C70</f>
        <v>45420.555</v>
      </c>
      <c r="D68" s="587">
        <f>D69</f>
        <v>173475</v>
      </c>
    </row>
    <row r="69" spans="1:4">
      <c r="A69" s="585" t="s">
        <v>2617</v>
      </c>
      <c r="B69" s="523">
        <f>[9]Муниципальные!$B$104</f>
        <v>1066656.04</v>
      </c>
      <c r="C69" s="539">
        <f>[9]Муниципальные!$C$104</f>
        <v>0</v>
      </c>
      <c r="D69" s="965">
        <f>[9]Муниципальные!$D$103</f>
        <v>173475</v>
      </c>
    </row>
    <row r="70" spans="1:4">
      <c r="A70" s="585" t="s">
        <v>2618</v>
      </c>
      <c r="B70" s="523">
        <f>[9]Муниципальные!$B$105</f>
        <v>1060746.1470000001</v>
      </c>
      <c r="C70" s="539">
        <f>[9]Муниципальные!$C$105</f>
        <v>45420.555</v>
      </c>
      <c r="D70" s="966"/>
    </row>
    <row r="71" spans="1:4">
      <c r="A71" s="588" t="s">
        <v>2668</v>
      </c>
      <c r="B71" s="580">
        <f t="shared" ref="B71:C72" si="14">B65+B68</f>
        <v>4582113.7779999999</v>
      </c>
      <c r="C71" s="580">
        <f t="shared" si="14"/>
        <v>179850.15499999997</v>
      </c>
      <c r="D71" s="581">
        <f>D65+D68</f>
        <v>474957.6</v>
      </c>
    </row>
    <row r="72" spans="1:4">
      <c r="A72" s="585" t="s">
        <v>2617</v>
      </c>
      <c r="B72" s="523">
        <f t="shared" si="14"/>
        <v>1902819.6400000001</v>
      </c>
      <c r="C72" s="523">
        <f t="shared" si="14"/>
        <v>0</v>
      </c>
      <c r="D72" s="965">
        <f>D66+D69</f>
        <v>474957.6</v>
      </c>
    </row>
    <row r="73" spans="1:4" ht="13.5" thickBot="1">
      <c r="A73" s="589" t="s">
        <v>2618</v>
      </c>
      <c r="B73" s="577">
        <f>B67+B70</f>
        <v>2679294.1380000003</v>
      </c>
      <c r="C73" s="577">
        <f>C67+C70</f>
        <v>179850.155</v>
      </c>
      <c r="D73" s="967"/>
    </row>
    <row r="74" spans="1:4">
      <c r="A74" s="590"/>
      <c r="B74" s="591"/>
      <c r="C74" s="591"/>
      <c r="D74" s="591"/>
    </row>
    <row r="75" spans="1:4">
      <c r="A75" s="590"/>
      <c r="B75" s="591"/>
      <c r="C75" s="591"/>
      <c r="D75" s="591"/>
    </row>
    <row r="76" spans="1:4" ht="20.25">
      <c r="A76" s="516" t="s">
        <v>2619</v>
      </c>
      <c r="B76" s="517"/>
      <c r="C76" s="517"/>
      <c r="D76" s="518" t="s">
        <v>2620</v>
      </c>
    </row>
    <row r="77" spans="1:4">
      <c r="A77" s="519"/>
      <c r="B77" s="514"/>
      <c r="C77" s="514"/>
      <c r="D77" s="520"/>
    </row>
    <row r="79" spans="1:4">
      <c r="A79" s="519" t="s">
        <v>2621</v>
      </c>
    </row>
  </sheetData>
  <mergeCells count="21">
    <mergeCell ref="D69:D70"/>
    <mergeCell ref="D72:D73"/>
    <mergeCell ref="D52:D53"/>
    <mergeCell ref="A54:D54"/>
    <mergeCell ref="D58:D59"/>
    <mergeCell ref="A60:D60"/>
    <mergeCell ref="D63:D64"/>
    <mergeCell ref="D66:D67"/>
    <mergeCell ref="D37:D38"/>
    <mergeCell ref="A1:D1"/>
    <mergeCell ref="A2:D2"/>
    <mergeCell ref="A3:D3"/>
    <mergeCell ref="A5:A6"/>
    <mergeCell ref="B5:B6"/>
    <mergeCell ref="C5:C6"/>
    <mergeCell ref="D5:D6"/>
    <mergeCell ref="A7:D7"/>
    <mergeCell ref="D23:D24"/>
    <mergeCell ref="D25:D26"/>
    <mergeCell ref="D27:D28"/>
    <mergeCell ref="D33:D34"/>
  </mergeCells>
  <printOptions horizontalCentered="1"/>
  <pageMargins left="0.70866141732283472" right="0.70866141732283472" top="0.74803149606299213" bottom="0.74803149606299213" header="0.31496062992125984" footer="0.31496062992125984"/>
  <pageSetup paperSize="9" scale="75" fitToHeight="0" orientation="portrait" horizontalDpi="300" verticalDpi="300" r:id="rId1"/>
  <headerFooter differentFirst="1">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3" tint="0.39997558519241921"/>
  </sheetPr>
  <dimension ref="A1:L281"/>
  <sheetViews>
    <sheetView view="pageBreakPreview" topLeftCell="A147" zoomScale="90" zoomScaleNormal="90" zoomScaleSheetLayoutView="90" workbookViewId="0">
      <selection activeCell="B164" sqref="B164:B166"/>
    </sheetView>
  </sheetViews>
  <sheetFormatPr defaultColWidth="8.85546875" defaultRowHeight="15" outlineLevelRow="1"/>
  <cols>
    <col min="1" max="1" width="7.28515625" style="441" customWidth="1"/>
    <col min="2" max="2" width="43.7109375" style="637" customWidth="1"/>
    <col min="3" max="3" width="8.7109375" style="2" customWidth="1"/>
    <col min="4" max="4" width="8.85546875" style="117" customWidth="1"/>
    <col min="5" max="5" width="10.7109375" style="4" customWidth="1"/>
    <col min="6" max="6" width="11.85546875" style="3" customWidth="1"/>
    <col min="7" max="7" width="10.85546875" style="4" customWidth="1"/>
    <col min="8" max="8" width="10.42578125" style="4" customWidth="1"/>
    <col min="9" max="9" width="9.7109375" style="4" customWidth="1"/>
    <col min="10" max="10" width="60.28515625" style="118" customWidth="1"/>
    <col min="11" max="11" width="50.7109375" style="119" customWidth="1"/>
    <col min="12" max="12" width="12.140625" customWidth="1"/>
    <col min="257" max="257" width="7.28515625" customWidth="1"/>
    <col min="258" max="258" width="43.7109375" customWidth="1"/>
    <col min="259" max="259" width="8.7109375" customWidth="1"/>
    <col min="260" max="260" width="8.85546875" customWidth="1"/>
    <col min="261" max="261" width="10.7109375" customWidth="1"/>
    <col min="262" max="262" width="11.85546875" customWidth="1"/>
    <col min="263" max="263" width="10.85546875" customWidth="1"/>
    <col min="264" max="264" width="10.42578125" customWidth="1"/>
    <col min="265" max="265" width="9.7109375" customWidth="1"/>
    <col min="266" max="266" width="60.28515625" customWidth="1"/>
    <col min="267" max="267" width="50.7109375" customWidth="1"/>
    <col min="268" max="268" width="12.140625" customWidth="1"/>
    <col min="513" max="513" width="7.28515625" customWidth="1"/>
    <col min="514" max="514" width="43.7109375" customWidth="1"/>
    <col min="515" max="515" width="8.7109375" customWidth="1"/>
    <col min="516" max="516" width="8.85546875" customWidth="1"/>
    <col min="517" max="517" width="10.7109375" customWidth="1"/>
    <col min="518" max="518" width="11.85546875" customWidth="1"/>
    <col min="519" max="519" width="10.85546875" customWidth="1"/>
    <col min="520" max="520" width="10.42578125" customWidth="1"/>
    <col min="521" max="521" width="9.7109375" customWidth="1"/>
    <col min="522" max="522" width="60.28515625" customWidth="1"/>
    <col min="523" max="523" width="50.7109375" customWidth="1"/>
    <col min="524" max="524" width="12.140625" customWidth="1"/>
    <col min="769" max="769" width="7.28515625" customWidth="1"/>
    <col min="770" max="770" width="43.7109375" customWidth="1"/>
    <col min="771" max="771" width="8.7109375" customWidth="1"/>
    <col min="772" max="772" width="8.85546875" customWidth="1"/>
    <col min="773" max="773" width="10.7109375" customWidth="1"/>
    <col min="774" max="774" width="11.85546875" customWidth="1"/>
    <col min="775" max="775" width="10.85546875" customWidth="1"/>
    <col min="776" max="776" width="10.42578125" customWidth="1"/>
    <col min="777" max="777" width="9.7109375" customWidth="1"/>
    <col min="778" max="778" width="60.28515625" customWidth="1"/>
    <col min="779" max="779" width="50.7109375" customWidth="1"/>
    <col min="780" max="780" width="12.140625" customWidth="1"/>
    <col min="1025" max="1025" width="7.28515625" customWidth="1"/>
    <col min="1026" max="1026" width="43.7109375" customWidth="1"/>
    <col min="1027" max="1027" width="8.7109375" customWidth="1"/>
    <col min="1028" max="1028" width="8.85546875" customWidth="1"/>
    <col min="1029" max="1029" width="10.7109375" customWidth="1"/>
    <col min="1030" max="1030" width="11.85546875" customWidth="1"/>
    <col min="1031" max="1031" width="10.85546875" customWidth="1"/>
    <col min="1032" max="1032" width="10.42578125" customWidth="1"/>
    <col min="1033" max="1033" width="9.7109375" customWidth="1"/>
    <col min="1034" max="1034" width="60.28515625" customWidth="1"/>
    <col min="1035" max="1035" width="50.7109375" customWidth="1"/>
    <col min="1036" max="1036" width="12.140625" customWidth="1"/>
    <col min="1281" max="1281" width="7.28515625" customWidth="1"/>
    <col min="1282" max="1282" width="43.7109375" customWidth="1"/>
    <col min="1283" max="1283" width="8.7109375" customWidth="1"/>
    <col min="1284" max="1284" width="8.85546875" customWidth="1"/>
    <col min="1285" max="1285" width="10.7109375" customWidth="1"/>
    <col min="1286" max="1286" width="11.85546875" customWidth="1"/>
    <col min="1287" max="1287" width="10.85546875" customWidth="1"/>
    <col min="1288" max="1288" width="10.42578125" customWidth="1"/>
    <col min="1289" max="1289" width="9.7109375" customWidth="1"/>
    <col min="1290" max="1290" width="60.28515625" customWidth="1"/>
    <col min="1291" max="1291" width="50.7109375" customWidth="1"/>
    <col min="1292" max="1292" width="12.140625" customWidth="1"/>
    <col min="1537" max="1537" width="7.28515625" customWidth="1"/>
    <col min="1538" max="1538" width="43.7109375" customWidth="1"/>
    <col min="1539" max="1539" width="8.7109375" customWidth="1"/>
    <col min="1540" max="1540" width="8.85546875" customWidth="1"/>
    <col min="1541" max="1541" width="10.7109375" customWidth="1"/>
    <col min="1542" max="1542" width="11.85546875" customWidth="1"/>
    <col min="1543" max="1543" width="10.85546875" customWidth="1"/>
    <col min="1544" max="1544" width="10.42578125" customWidth="1"/>
    <col min="1545" max="1545" width="9.7109375" customWidth="1"/>
    <col min="1546" max="1546" width="60.28515625" customWidth="1"/>
    <col min="1547" max="1547" width="50.7109375" customWidth="1"/>
    <col min="1548" max="1548" width="12.140625" customWidth="1"/>
    <col min="1793" max="1793" width="7.28515625" customWidth="1"/>
    <col min="1794" max="1794" width="43.7109375" customWidth="1"/>
    <col min="1795" max="1795" width="8.7109375" customWidth="1"/>
    <col min="1796" max="1796" width="8.85546875" customWidth="1"/>
    <col min="1797" max="1797" width="10.7109375" customWidth="1"/>
    <col min="1798" max="1798" width="11.85546875" customWidth="1"/>
    <col min="1799" max="1799" width="10.85546875" customWidth="1"/>
    <col min="1800" max="1800" width="10.42578125" customWidth="1"/>
    <col min="1801" max="1801" width="9.7109375" customWidth="1"/>
    <col min="1802" max="1802" width="60.28515625" customWidth="1"/>
    <col min="1803" max="1803" width="50.7109375" customWidth="1"/>
    <col min="1804" max="1804" width="12.140625" customWidth="1"/>
    <col min="2049" max="2049" width="7.28515625" customWidth="1"/>
    <col min="2050" max="2050" width="43.7109375" customWidth="1"/>
    <col min="2051" max="2051" width="8.7109375" customWidth="1"/>
    <col min="2052" max="2052" width="8.85546875" customWidth="1"/>
    <col min="2053" max="2053" width="10.7109375" customWidth="1"/>
    <col min="2054" max="2054" width="11.85546875" customWidth="1"/>
    <col min="2055" max="2055" width="10.85546875" customWidth="1"/>
    <col min="2056" max="2056" width="10.42578125" customWidth="1"/>
    <col min="2057" max="2057" width="9.7109375" customWidth="1"/>
    <col min="2058" max="2058" width="60.28515625" customWidth="1"/>
    <col min="2059" max="2059" width="50.7109375" customWidth="1"/>
    <col min="2060" max="2060" width="12.140625" customWidth="1"/>
    <col min="2305" max="2305" width="7.28515625" customWidth="1"/>
    <col min="2306" max="2306" width="43.7109375" customWidth="1"/>
    <col min="2307" max="2307" width="8.7109375" customWidth="1"/>
    <col min="2308" max="2308" width="8.85546875" customWidth="1"/>
    <col min="2309" max="2309" width="10.7109375" customWidth="1"/>
    <col min="2310" max="2310" width="11.85546875" customWidth="1"/>
    <col min="2311" max="2311" width="10.85546875" customWidth="1"/>
    <col min="2312" max="2312" width="10.42578125" customWidth="1"/>
    <col min="2313" max="2313" width="9.7109375" customWidth="1"/>
    <col min="2314" max="2314" width="60.28515625" customWidth="1"/>
    <col min="2315" max="2315" width="50.7109375" customWidth="1"/>
    <col min="2316" max="2316" width="12.140625" customWidth="1"/>
    <col min="2561" max="2561" width="7.28515625" customWidth="1"/>
    <col min="2562" max="2562" width="43.7109375" customWidth="1"/>
    <col min="2563" max="2563" width="8.7109375" customWidth="1"/>
    <col min="2564" max="2564" width="8.85546875" customWidth="1"/>
    <col min="2565" max="2565" width="10.7109375" customWidth="1"/>
    <col min="2566" max="2566" width="11.85546875" customWidth="1"/>
    <col min="2567" max="2567" width="10.85546875" customWidth="1"/>
    <col min="2568" max="2568" width="10.42578125" customWidth="1"/>
    <col min="2569" max="2569" width="9.7109375" customWidth="1"/>
    <col min="2570" max="2570" width="60.28515625" customWidth="1"/>
    <col min="2571" max="2571" width="50.7109375" customWidth="1"/>
    <col min="2572" max="2572" width="12.140625" customWidth="1"/>
    <col min="2817" max="2817" width="7.28515625" customWidth="1"/>
    <col min="2818" max="2818" width="43.7109375" customWidth="1"/>
    <col min="2819" max="2819" width="8.7109375" customWidth="1"/>
    <col min="2820" max="2820" width="8.85546875" customWidth="1"/>
    <col min="2821" max="2821" width="10.7109375" customWidth="1"/>
    <col min="2822" max="2822" width="11.85546875" customWidth="1"/>
    <col min="2823" max="2823" width="10.85546875" customWidth="1"/>
    <col min="2824" max="2824" width="10.42578125" customWidth="1"/>
    <col min="2825" max="2825" width="9.7109375" customWidth="1"/>
    <col min="2826" max="2826" width="60.28515625" customWidth="1"/>
    <col min="2827" max="2827" width="50.7109375" customWidth="1"/>
    <col min="2828" max="2828" width="12.140625" customWidth="1"/>
    <col min="3073" max="3073" width="7.28515625" customWidth="1"/>
    <col min="3074" max="3074" width="43.7109375" customWidth="1"/>
    <col min="3075" max="3075" width="8.7109375" customWidth="1"/>
    <col min="3076" max="3076" width="8.85546875" customWidth="1"/>
    <col min="3077" max="3077" width="10.7109375" customWidth="1"/>
    <col min="3078" max="3078" width="11.85546875" customWidth="1"/>
    <col min="3079" max="3079" width="10.85546875" customWidth="1"/>
    <col min="3080" max="3080" width="10.42578125" customWidth="1"/>
    <col min="3081" max="3081" width="9.7109375" customWidth="1"/>
    <col min="3082" max="3082" width="60.28515625" customWidth="1"/>
    <col min="3083" max="3083" width="50.7109375" customWidth="1"/>
    <col min="3084" max="3084" width="12.140625" customWidth="1"/>
    <col min="3329" max="3329" width="7.28515625" customWidth="1"/>
    <col min="3330" max="3330" width="43.7109375" customWidth="1"/>
    <col min="3331" max="3331" width="8.7109375" customWidth="1"/>
    <col min="3332" max="3332" width="8.85546875" customWidth="1"/>
    <col min="3333" max="3333" width="10.7109375" customWidth="1"/>
    <col min="3334" max="3334" width="11.85546875" customWidth="1"/>
    <col min="3335" max="3335" width="10.85546875" customWidth="1"/>
    <col min="3336" max="3336" width="10.42578125" customWidth="1"/>
    <col min="3337" max="3337" width="9.7109375" customWidth="1"/>
    <col min="3338" max="3338" width="60.28515625" customWidth="1"/>
    <col min="3339" max="3339" width="50.7109375" customWidth="1"/>
    <col min="3340" max="3340" width="12.140625" customWidth="1"/>
    <col min="3585" max="3585" width="7.28515625" customWidth="1"/>
    <col min="3586" max="3586" width="43.7109375" customWidth="1"/>
    <col min="3587" max="3587" width="8.7109375" customWidth="1"/>
    <col min="3588" max="3588" width="8.85546875" customWidth="1"/>
    <col min="3589" max="3589" width="10.7109375" customWidth="1"/>
    <col min="3590" max="3590" width="11.85546875" customWidth="1"/>
    <col min="3591" max="3591" width="10.85546875" customWidth="1"/>
    <col min="3592" max="3592" width="10.42578125" customWidth="1"/>
    <col min="3593" max="3593" width="9.7109375" customWidth="1"/>
    <col min="3594" max="3594" width="60.28515625" customWidth="1"/>
    <col min="3595" max="3595" width="50.7109375" customWidth="1"/>
    <col min="3596" max="3596" width="12.140625" customWidth="1"/>
    <col min="3841" max="3841" width="7.28515625" customWidth="1"/>
    <col min="3842" max="3842" width="43.7109375" customWidth="1"/>
    <col min="3843" max="3843" width="8.7109375" customWidth="1"/>
    <col min="3844" max="3844" width="8.85546875" customWidth="1"/>
    <col min="3845" max="3845" width="10.7109375" customWidth="1"/>
    <col min="3846" max="3846" width="11.85546875" customWidth="1"/>
    <col min="3847" max="3847" width="10.85546875" customWidth="1"/>
    <col min="3848" max="3848" width="10.42578125" customWidth="1"/>
    <col min="3849" max="3849" width="9.7109375" customWidth="1"/>
    <col min="3850" max="3850" width="60.28515625" customWidth="1"/>
    <col min="3851" max="3851" width="50.7109375" customWidth="1"/>
    <col min="3852" max="3852" width="12.140625" customWidth="1"/>
    <col min="4097" max="4097" width="7.28515625" customWidth="1"/>
    <col min="4098" max="4098" width="43.7109375" customWidth="1"/>
    <col min="4099" max="4099" width="8.7109375" customWidth="1"/>
    <col min="4100" max="4100" width="8.85546875" customWidth="1"/>
    <col min="4101" max="4101" width="10.7109375" customWidth="1"/>
    <col min="4102" max="4102" width="11.85546875" customWidth="1"/>
    <col min="4103" max="4103" width="10.85546875" customWidth="1"/>
    <col min="4104" max="4104" width="10.42578125" customWidth="1"/>
    <col min="4105" max="4105" width="9.7109375" customWidth="1"/>
    <col min="4106" max="4106" width="60.28515625" customWidth="1"/>
    <col min="4107" max="4107" width="50.7109375" customWidth="1"/>
    <col min="4108" max="4108" width="12.140625" customWidth="1"/>
    <col min="4353" max="4353" width="7.28515625" customWidth="1"/>
    <col min="4354" max="4354" width="43.7109375" customWidth="1"/>
    <col min="4355" max="4355" width="8.7109375" customWidth="1"/>
    <col min="4356" max="4356" width="8.85546875" customWidth="1"/>
    <col min="4357" max="4357" width="10.7109375" customWidth="1"/>
    <col min="4358" max="4358" width="11.85546875" customWidth="1"/>
    <col min="4359" max="4359" width="10.85546875" customWidth="1"/>
    <col min="4360" max="4360" width="10.42578125" customWidth="1"/>
    <col min="4361" max="4361" width="9.7109375" customWidth="1"/>
    <col min="4362" max="4362" width="60.28515625" customWidth="1"/>
    <col min="4363" max="4363" width="50.7109375" customWidth="1"/>
    <col min="4364" max="4364" width="12.140625" customWidth="1"/>
    <col min="4609" max="4609" width="7.28515625" customWidth="1"/>
    <col min="4610" max="4610" width="43.7109375" customWidth="1"/>
    <col min="4611" max="4611" width="8.7109375" customWidth="1"/>
    <col min="4612" max="4612" width="8.85546875" customWidth="1"/>
    <col min="4613" max="4613" width="10.7109375" customWidth="1"/>
    <col min="4614" max="4614" width="11.85546875" customWidth="1"/>
    <col min="4615" max="4615" width="10.85546875" customWidth="1"/>
    <col min="4616" max="4616" width="10.42578125" customWidth="1"/>
    <col min="4617" max="4617" width="9.7109375" customWidth="1"/>
    <col min="4618" max="4618" width="60.28515625" customWidth="1"/>
    <col min="4619" max="4619" width="50.7109375" customWidth="1"/>
    <col min="4620" max="4620" width="12.140625" customWidth="1"/>
    <col min="4865" max="4865" width="7.28515625" customWidth="1"/>
    <col min="4866" max="4866" width="43.7109375" customWidth="1"/>
    <col min="4867" max="4867" width="8.7109375" customWidth="1"/>
    <col min="4868" max="4868" width="8.85546875" customWidth="1"/>
    <col min="4869" max="4869" width="10.7109375" customWidth="1"/>
    <col min="4870" max="4870" width="11.85546875" customWidth="1"/>
    <col min="4871" max="4871" width="10.85546875" customWidth="1"/>
    <col min="4872" max="4872" width="10.42578125" customWidth="1"/>
    <col min="4873" max="4873" width="9.7109375" customWidth="1"/>
    <col min="4874" max="4874" width="60.28515625" customWidth="1"/>
    <col min="4875" max="4875" width="50.7109375" customWidth="1"/>
    <col min="4876" max="4876" width="12.140625" customWidth="1"/>
    <col min="5121" max="5121" width="7.28515625" customWidth="1"/>
    <col min="5122" max="5122" width="43.7109375" customWidth="1"/>
    <col min="5123" max="5123" width="8.7109375" customWidth="1"/>
    <col min="5124" max="5124" width="8.85546875" customWidth="1"/>
    <col min="5125" max="5125" width="10.7109375" customWidth="1"/>
    <col min="5126" max="5126" width="11.85546875" customWidth="1"/>
    <col min="5127" max="5127" width="10.85546875" customWidth="1"/>
    <col min="5128" max="5128" width="10.42578125" customWidth="1"/>
    <col min="5129" max="5129" width="9.7109375" customWidth="1"/>
    <col min="5130" max="5130" width="60.28515625" customWidth="1"/>
    <col min="5131" max="5131" width="50.7109375" customWidth="1"/>
    <col min="5132" max="5132" width="12.140625" customWidth="1"/>
    <col min="5377" max="5377" width="7.28515625" customWidth="1"/>
    <col min="5378" max="5378" width="43.7109375" customWidth="1"/>
    <col min="5379" max="5379" width="8.7109375" customWidth="1"/>
    <col min="5380" max="5380" width="8.85546875" customWidth="1"/>
    <col min="5381" max="5381" width="10.7109375" customWidth="1"/>
    <col min="5382" max="5382" width="11.85546875" customWidth="1"/>
    <col min="5383" max="5383" width="10.85546875" customWidth="1"/>
    <col min="5384" max="5384" width="10.42578125" customWidth="1"/>
    <col min="5385" max="5385" width="9.7109375" customWidth="1"/>
    <col min="5386" max="5386" width="60.28515625" customWidth="1"/>
    <col min="5387" max="5387" width="50.7109375" customWidth="1"/>
    <col min="5388" max="5388" width="12.140625" customWidth="1"/>
    <col min="5633" max="5633" width="7.28515625" customWidth="1"/>
    <col min="5634" max="5634" width="43.7109375" customWidth="1"/>
    <col min="5635" max="5635" width="8.7109375" customWidth="1"/>
    <col min="5636" max="5636" width="8.85546875" customWidth="1"/>
    <col min="5637" max="5637" width="10.7109375" customWidth="1"/>
    <col min="5638" max="5638" width="11.85546875" customWidth="1"/>
    <col min="5639" max="5639" width="10.85546875" customWidth="1"/>
    <col min="5640" max="5640" width="10.42578125" customWidth="1"/>
    <col min="5641" max="5641" width="9.7109375" customWidth="1"/>
    <col min="5642" max="5642" width="60.28515625" customWidth="1"/>
    <col min="5643" max="5643" width="50.7109375" customWidth="1"/>
    <col min="5644" max="5644" width="12.140625" customWidth="1"/>
    <col min="5889" max="5889" width="7.28515625" customWidth="1"/>
    <col min="5890" max="5890" width="43.7109375" customWidth="1"/>
    <col min="5891" max="5891" width="8.7109375" customWidth="1"/>
    <col min="5892" max="5892" width="8.85546875" customWidth="1"/>
    <col min="5893" max="5893" width="10.7109375" customWidth="1"/>
    <col min="5894" max="5894" width="11.85546875" customWidth="1"/>
    <col min="5895" max="5895" width="10.85546875" customWidth="1"/>
    <col min="5896" max="5896" width="10.42578125" customWidth="1"/>
    <col min="5897" max="5897" width="9.7109375" customWidth="1"/>
    <col min="5898" max="5898" width="60.28515625" customWidth="1"/>
    <col min="5899" max="5899" width="50.7109375" customWidth="1"/>
    <col min="5900" max="5900" width="12.140625" customWidth="1"/>
    <col min="6145" max="6145" width="7.28515625" customWidth="1"/>
    <col min="6146" max="6146" width="43.7109375" customWidth="1"/>
    <col min="6147" max="6147" width="8.7109375" customWidth="1"/>
    <col min="6148" max="6148" width="8.85546875" customWidth="1"/>
    <col min="6149" max="6149" width="10.7109375" customWidth="1"/>
    <col min="6150" max="6150" width="11.85546875" customWidth="1"/>
    <col min="6151" max="6151" width="10.85546875" customWidth="1"/>
    <col min="6152" max="6152" width="10.42578125" customWidth="1"/>
    <col min="6153" max="6153" width="9.7109375" customWidth="1"/>
    <col min="6154" max="6154" width="60.28515625" customWidth="1"/>
    <col min="6155" max="6155" width="50.7109375" customWidth="1"/>
    <col min="6156" max="6156" width="12.140625" customWidth="1"/>
    <col min="6401" max="6401" width="7.28515625" customWidth="1"/>
    <col min="6402" max="6402" width="43.7109375" customWidth="1"/>
    <col min="6403" max="6403" width="8.7109375" customWidth="1"/>
    <col min="6404" max="6404" width="8.85546875" customWidth="1"/>
    <col min="6405" max="6405" width="10.7109375" customWidth="1"/>
    <col min="6406" max="6406" width="11.85546875" customWidth="1"/>
    <col min="6407" max="6407" width="10.85546875" customWidth="1"/>
    <col min="6408" max="6408" width="10.42578125" customWidth="1"/>
    <col min="6409" max="6409" width="9.7109375" customWidth="1"/>
    <col min="6410" max="6410" width="60.28515625" customWidth="1"/>
    <col min="6411" max="6411" width="50.7109375" customWidth="1"/>
    <col min="6412" max="6412" width="12.140625" customWidth="1"/>
    <col min="6657" max="6657" width="7.28515625" customWidth="1"/>
    <col min="6658" max="6658" width="43.7109375" customWidth="1"/>
    <col min="6659" max="6659" width="8.7109375" customWidth="1"/>
    <col min="6660" max="6660" width="8.85546875" customWidth="1"/>
    <col min="6661" max="6661" width="10.7109375" customWidth="1"/>
    <col min="6662" max="6662" width="11.85546875" customWidth="1"/>
    <col min="6663" max="6663" width="10.85546875" customWidth="1"/>
    <col min="6664" max="6664" width="10.42578125" customWidth="1"/>
    <col min="6665" max="6665" width="9.7109375" customWidth="1"/>
    <col min="6666" max="6666" width="60.28515625" customWidth="1"/>
    <col min="6667" max="6667" width="50.7109375" customWidth="1"/>
    <col min="6668" max="6668" width="12.140625" customWidth="1"/>
    <col min="6913" max="6913" width="7.28515625" customWidth="1"/>
    <col min="6914" max="6914" width="43.7109375" customWidth="1"/>
    <col min="6915" max="6915" width="8.7109375" customWidth="1"/>
    <col min="6916" max="6916" width="8.85546875" customWidth="1"/>
    <col min="6917" max="6917" width="10.7109375" customWidth="1"/>
    <col min="6918" max="6918" width="11.85546875" customWidth="1"/>
    <col min="6919" max="6919" width="10.85546875" customWidth="1"/>
    <col min="6920" max="6920" width="10.42578125" customWidth="1"/>
    <col min="6921" max="6921" width="9.7109375" customWidth="1"/>
    <col min="6922" max="6922" width="60.28515625" customWidth="1"/>
    <col min="6923" max="6923" width="50.7109375" customWidth="1"/>
    <col min="6924" max="6924" width="12.140625" customWidth="1"/>
    <col min="7169" max="7169" width="7.28515625" customWidth="1"/>
    <col min="7170" max="7170" width="43.7109375" customWidth="1"/>
    <col min="7171" max="7171" width="8.7109375" customWidth="1"/>
    <col min="7172" max="7172" width="8.85546875" customWidth="1"/>
    <col min="7173" max="7173" width="10.7109375" customWidth="1"/>
    <col min="7174" max="7174" width="11.85546875" customWidth="1"/>
    <col min="7175" max="7175" width="10.85546875" customWidth="1"/>
    <col min="7176" max="7176" width="10.42578125" customWidth="1"/>
    <col min="7177" max="7177" width="9.7109375" customWidth="1"/>
    <col min="7178" max="7178" width="60.28515625" customWidth="1"/>
    <col min="7179" max="7179" width="50.7109375" customWidth="1"/>
    <col min="7180" max="7180" width="12.140625" customWidth="1"/>
    <col min="7425" max="7425" width="7.28515625" customWidth="1"/>
    <col min="7426" max="7426" width="43.7109375" customWidth="1"/>
    <col min="7427" max="7427" width="8.7109375" customWidth="1"/>
    <col min="7428" max="7428" width="8.85546875" customWidth="1"/>
    <col min="7429" max="7429" width="10.7109375" customWidth="1"/>
    <col min="7430" max="7430" width="11.85546875" customWidth="1"/>
    <col min="7431" max="7431" width="10.85546875" customWidth="1"/>
    <col min="7432" max="7432" width="10.42578125" customWidth="1"/>
    <col min="7433" max="7433" width="9.7109375" customWidth="1"/>
    <col min="7434" max="7434" width="60.28515625" customWidth="1"/>
    <col min="7435" max="7435" width="50.7109375" customWidth="1"/>
    <col min="7436" max="7436" width="12.140625" customWidth="1"/>
    <col min="7681" max="7681" width="7.28515625" customWidth="1"/>
    <col min="7682" max="7682" width="43.7109375" customWidth="1"/>
    <col min="7683" max="7683" width="8.7109375" customWidth="1"/>
    <col min="7684" max="7684" width="8.85546875" customWidth="1"/>
    <col min="7685" max="7685" width="10.7109375" customWidth="1"/>
    <col min="7686" max="7686" width="11.85546875" customWidth="1"/>
    <col min="7687" max="7687" width="10.85546875" customWidth="1"/>
    <col min="7688" max="7688" width="10.42578125" customWidth="1"/>
    <col min="7689" max="7689" width="9.7109375" customWidth="1"/>
    <col min="7690" max="7690" width="60.28515625" customWidth="1"/>
    <col min="7691" max="7691" width="50.7109375" customWidth="1"/>
    <col min="7692" max="7692" width="12.140625" customWidth="1"/>
    <col min="7937" max="7937" width="7.28515625" customWidth="1"/>
    <col min="7938" max="7938" width="43.7109375" customWidth="1"/>
    <col min="7939" max="7939" width="8.7109375" customWidth="1"/>
    <col min="7940" max="7940" width="8.85546875" customWidth="1"/>
    <col min="7941" max="7941" width="10.7109375" customWidth="1"/>
    <col min="7942" max="7942" width="11.85546875" customWidth="1"/>
    <col min="7943" max="7943" width="10.85546875" customWidth="1"/>
    <col min="7944" max="7944" width="10.42578125" customWidth="1"/>
    <col min="7945" max="7945" width="9.7109375" customWidth="1"/>
    <col min="7946" max="7946" width="60.28515625" customWidth="1"/>
    <col min="7947" max="7947" width="50.7109375" customWidth="1"/>
    <col min="7948" max="7948" width="12.140625" customWidth="1"/>
    <col min="8193" max="8193" width="7.28515625" customWidth="1"/>
    <col min="8194" max="8194" width="43.7109375" customWidth="1"/>
    <col min="8195" max="8195" width="8.7109375" customWidth="1"/>
    <col min="8196" max="8196" width="8.85546875" customWidth="1"/>
    <col min="8197" max="8197" width="10.7109375" customWidth="1"/>
    <col min="8198" max="8198" width="11.85546875" customWidth="1"/>
    <col min="8199" max="8199" width="10.85546875" customWidth="1"/>
    <col min="8200" max="8200" width="10.42578125" customWidth="1"/>
    <col min="8201" max="8201" width="9.7109375" customWidth="1"/>
    <col min="8202" max="8202" width="60.28515625" customWidth="1"/>
    <col min="8203" max="8203" width="50.7109375" customWidth="1"/>
    <col min="8204" max="8204" width="12.140625" customWidth="1"/>
    <col min="8449" max="8449" width="7.28515625" customWidth="1"/>
    <col min="8450" max="8450" width="43.7109375" customWidth="1"/>
    <col min="8451" max="8451" width="8.7109375" customWidth="1"/>
    <col min="8452" max="8452" width="8.85546875" customWidth="1"/>
    <col min="8453" max="8453" width="10.7109375" customWidth="1"/>
    <col min="8454" max="8454" width="11.85546875" customWidth="1"/>
    <col min="8455" max="8455" width="10.85546875" customWidth="1"/>
    <col min="8456" max="8456" width="10.42578125" customWidth="1"/>
    <col min="8457" max="8457" width="9.7109375" customWidth="1"/>
    <col min="8458" max="8458" width="60.28515625" customWidth="1"/>
    <col min="8459" max="8459" width="50.7109375" customWidth="1"/>
    <col min="8460" max="8460" width="12.140625" customWidth="1"/>
    <col min="8705" max="8705" width="7.28515625" customWidth="1"/>
    <col min="8706" max="8706" width="43.7109375" customWidth="1"/>
    <col min="8707" max="8707" width="8.7109375" customWidth="1"/>
    <col min="8708" max="8708" width="8.85546875" customWidth="1"/>
    <col min="8709" max="8709" width="10.7109375" customWidth="1"/>
    <col min="8710" max="8710" width="11.85546875" customWidth="1"/>
    <col min="8711" max="8711" width="10.85546875" customWidth="1"/>
    <col min="8712" max="8712" width="10.42578125" customWidth="1"/>
    <col min="8713" max="8713" width="9.7109375" customWidth="1"/>
    <col min="8714" max="8714" width="60.28515625" customWidth="1"/>
    <col min="8715" max="8715" width="50.7109375" customWidth="1"/>
    <col min="8716" max="8716" width="12.140625" customWidth="1"/>
    <col min="8961" max="8961" width="7.28515625" customWidth="1"/>
    <col min="8962" max="8962" width="43.7109375" customWidth="1"/>
    <col min="8963" max="8963" width="8.7109375" customWidth="1"/>
    <col min="8964" max="8964" width="8.85546875" customWidth="1"/>
    <col min="8965" max="8965" width="10.7109375" customWidth="1"/>
    <col min="8966" max="8966" width="11.85546875" customWidth="1"/>
    <col min="8967" max="8967" width="10.85546875" customWidth="1"/>
    <col min="8968" max="8968" width="10.42578125" customWidth="1"/>
    <col min="8969" max="8969" width="9.7109375" customWidth="1"/>
    <col min="8970" max="8970" width="60.28515625" customWidth="1"/>
    <col min="8971" max="8971" width="50.7109375" customWidth="1"/>
    <col min="8972" max="8972" width="12.140625" customWidth="1"/>
    <col min="9217" max="9217" width="7.28515625" customWidth="1"/>
    <col min="9218" max="9218" width="43.7109375" customWidth="1"/>
    <col min="9219" max="9219" width="8.7109375" customWidth="1"/>
    <col min="9220" max="9220" width="8.85546875" customWidth="1"/>
    <col min="9221" max="9221" width="10.7109375" customWidth="1"/>
    <col min="9222" max="9222" width="11.85546875" customWidth="1"/>
    <col min="9223" max="9223" width="10.85546875" customWidth="1"/>
    <col min="9224" max="9224" width="10.42578125" customWidth="1"/>
    <col min="9225" max="9225" width="9.7109375" customWidth="1"/>
    <col min="9226" max="9226" width="60.28515625" customWidth="1"/>
    <col min="9227" max="9227" width="50.7109375" customWidth="1"/>
    <col min="9228" max="9228" width="12.140625" customWidth="1"/>
    <col min="9473" max="9473" width="7.28515625" customWidth="1"/>
    <col min="9474" max="9474" width="43.7109375" customWidth="1"/>
    <col min="9475" max="9475" width="8.7109375" customWidth="1"/>
    <col min="9476" max="9476" width="8.85546875" customWidth="1"/>
    <col min="9477" max="9477" width="10.7109375" customWidth="1"/>
    <col min="9478" max="9478" width="11.85546875" customWidth="1"/>
    <col min="9479" max="9479" width="10.85546875" customWidth="1"/>
    <col min="9480" max="9480" width="10.42578125" customWidth="1"/>
    <col min="9481" max="9481" width="9.7109375" customWidth="1"/>
    <col min="9482" max="9482" width="60.28515625" customWidth="1"/>
    <col min="9483" max="9483" width="50.7109375" customWidth="1"/>
    <col min="9484" max="9484" width="12.140625" customWidth="1"/>
    <col min="9729" max="9729" width="7.28515625" customWidth="1"/>
    <col min="9730" max="9730" width="43.7109375" customWidth="1"/>
    <col min="9731" max="9731" width="8.7109375" customWidth="1"/>
    <col min="9732" max="9732" width="8.85546875" customWidth="1"/>
    <col min="9733" max="9733" width="10.7109375" customWidth="1"/>
    <col min="9734" max="9734" width="11.85546875" customWidth="1"/>
    <col min="9735" max="9735" width="10.85546875" customWidth="1"/>
    <col min="9736" max="9736" width="10.42578125" customWidth="1"/>
    <col min="9737" max="9737" width="9.7109375" customWidth="1"/>
    <col min="9738" max="9738" width="60.28515625" customWidth="1"/>
    <col min="9739" max="9739" width="50.7109375" customWidth="1"/>
    <col min="9740" max="9740" width="12.140625" customWidth="1"/>
    <col min="9985" max="9985" width="7.28515625" customWidth="1"/>
    <col min="9986" max="9986" width="43.7109375" customWidth="1"/>
    <col min="9987" max="9987" width="8.7109375" customWidth="1"/>
    <col min="9988" max="9988" width="8.85546875" customWidth="1"/>
    <col min="9989" max="9989" width="10.7109375" customWidth="1"/>
    <col min="9990" max="9990" width="11.85546875" customWidth="1"/>
    <col min="9991" max="9991" width="10.85546875" customWidth="1"/>
    <col min="9992" max="9992" width="10.42578125" customWidth="1"/>
    <col min="9993" max="9993" width="9.7109375" customWidth="1"/>
    <col min="9994" max="9994" width="60.28515625" customWidth="1"/>
    <col min="9995" max="9995" width="50.7109375" customWidth="1"/>
    <col min="9996" max="9996" width="12.140625" customWidth="1"/>
    <col min="10241" max="10241" width="7.28515625" customWidth="1"/>
    <col min="10242" max="10242" width="43.7109375" customWidth="1"/>
    <col min="10243" max="10243" width="8.7109375" customWidth="1"/>
    <col min="10244" max="10244" width="8.85546875" customWidth="1"/>
    <col min="10245" max="10245" width="10.7109375" customWidth="1"/>
    <col min="10246" max="10246" width="11.85546875" customWidth="1"/>
    <col min="10247" max="10247" width="10.85546875" customWidth="1"/>
    <col min="10248" max="10248" width="10.42578125" customWidth="1"/>
    <col min="10249" max="10249" width="9.7109375" customWidth="1"/>
    <col min="10250" max="10250" width="60.28515625" customWidth="1"/>
    <col min="10251" max="10251" width="50.7109375" customWidth="1"/>
    <col min="10252" max="10252" width="12.140625" customWidth="1"/>
    <col min="10497" max="10497" width="7.28515625" customWidth="1"/>
    <col min="10498" max="10498" width="43.7109375" customWidth="1"/>
    <col min="10499" max="10499" width="8.7109375" customWidth="1"/>
    <col min="10500" max="10500" width="8.85546875" customWidth="1"/>
    <col min="10501" max="10501" width="10.7109375" customWidth="1"/>
    <col min="10502" max="10502" width="11.85546875" customWidth="1"/>
    <col min="10503" max="10503" width="10.85546875" customWidth="1"/>
    <col min="10504" max="10504" width="10.42578125" customWidth="1"/>
    <col min="10505" max="10505" width="9.7109375" customWidth="1"/>
    <col min="10506" max="10506" width="60.28515625" customWidth="1"/>
    <col min="10507" max="10507" width="50.7109375" customWidth="1"/>
    <col min="10508" max="10508" width="12.140625" customWidth="1"/>
    <col min="10753" max="10753" width="7.28515625" customWidth="1"/>
    <col min="10754" max="10754" width="43.7109375" customWidth="1"/>
    <col min="10755" max="10755" width="8.7109375" customWidth="1"/>
    <col min="10756" max="10756" width="8.85546875" customWidth="1"/>
    <col min="10757" max="10757" width="10.7109375" customWidth="1"/>
    <col min="10758" max="10758" width="11.85546875" customWidth="1"/>
    <col min="10759" max="10759" width="10.85546875" customWidth="1"/>
    <col min="10760" max="10760" width="10.42578125" customWidth="1"/>
    <col min="10761" max="10761" width="9.7109375" customWidth="1"/>
    <col min="10762" max="10762" width="60.28515625" customWidth="1"/>
    <col min="10763" max="10763" width="50.7109375" customWidth="1"/>
    <col min="10764" max="10764" width="12.140625" customWidth="1"/>
    <col min="11009" max="11009" width="7.28515625" customWidth="1"/>
    <col min="11010" max="11010" width="43.7109375" customWidth="1"/>
    <col min="11011" max="11011" width="8.7109375" customWidth="1"/>
    <col min="11012" max="11012" width="8.85546875" customWidth="1"/>
    <col min="11013" max="11013" width="10.7109375" customWidth="1"/>
    <col min="11014" max="11014" width="11.85546875" customWidth="1"/>
    <col min="11015" max="11015" width="10.85546875" customWidth="1"/>
    <col min="11016" max="11016" width="10.42578125" customWidth="1"/>
    <col min="11017" max="11017" width="9.7109375" customWidth="1"/>
    <col min="11018" max="11018" width="60.28515625" customWidth="1"/>
    <col min="11019" max="11019" width="50.7109375" customWidth="1"/>
    <col min="11020" max="11020" width="12.140625" customWidth="1"/>
    <col min="11265" max="11265" width="7.28515625" customWidth="1"/>
    <col min="11266" max="11266" width="43.7109375" customWidth="1"/>
    <col min="11267" max="11267" width="8.7109375" customWidth="1"/>
    <col min="11268" max="11268" width="8.85546875" customWidth="1"/>
    <col min="11269" max="11269" width="10.7109375" customWidth="1"/>
    <col min="11270" max="11270" width="11.85546875" customWidth="1"/>
    <col min="11271" max="11271" width="10.85546875" customWidth="1"/>
    <col min="11272" max="11272" width="10.42578125" customWidth="1"/>
    <col min="11273" max="11273" width="9.7109375" customWidth="1"/>
    <col min="11274" max="11274" width="60.28515625" customWidth="1"/>
    <col min="11275" max="11275" width="50.7109375" customWidth="1"/>
    <col min="11276" max="11276" width="12.140625" customWidth="1"/>
    <col min="11521" max="11521" width="7.28515625" customWidth="1"/>
    <col min="11522" max="11522" width="43.7109375" customWidth="1"/>
    <col min="11523" max="11523" width="8.7109375" customWidth="1"/>
    <col min="11524" max="11524" width="8.85546875" customWidth="1"/>
    <col min="11525" max="11525" width="10.7109375" customWidth="1"/>
    <col min="11526" max="11526" width="11.85546875" customWidth="1"/>
    <col min="11527" max="11527" width="10.85546875" customWidth="1"/>
    <col min="11528" max="11528" width="10.42578125" customWidth="1"/>
    <col min="11529" max="11529" width="9.7109375" customWidth="1"/>
    <col min="11530" max="11530" width="60.28515625" customWidth="1"/>
    <col min="11531" max="11531" width="50.7109375" customWidth="1"/>
    <col min="11532" max="11532" width="12.140625" customWidth="1"/>
    <col min="11777" max="11777" width="7.28515625" customWidth="1"/>
    <col min="11778" max="11778" width="43.7109375" customWidth="1"/>
    <col min="11779" max="11779" width="8.7109375" customWidth="1"/>
    <col min="11780" max="11780" width="8.85546875" customWidth="1"/>
    <col min="11781" max="11781" width="10.7109375" customWidth="1"/>
    <col min="11782" max="11782" width="11.85546875" customWidth="1"/>
    <col min="11783" max="11783" width="10.85546875" customWidth="1"/>
    <col min="11784" max="11784" width="10.42578125" customWidth="1"/>
    <col min="11785" max="11785" width="9.7109375" customWidth="1"/>
    <col min="11786" max="11786" width="60.28515625" customWidth="1"/>
    <col min="11787" max="11787" width="50.7109375" customWidth="1"/>
    <col min="11788" max="11788" width="12.140625" customWidth="1"/>
    <col min="12033" max="12033" width="7.28515625" customWidth="1"/>
    <col min="12034" max="12034" width="43.7109375" customWidth="1"/>
    <col min="12035" max="12035" width="8.7109375" customWidth="1"/>
    <col min="12036" max="12036" width="8.85546875" customWidth="1"/>
    <col min="12037" max="12037" width="10.7109375" customWidth="1"/>
    <col min="12038" max="12038" width="11.85546875" customWidth="1"/>
    <col min="12039" max="12039" width="10.85546875" customWidth="1"/>
    <col min="12040" max="12040" width="10.42578125" customWidth="1"/>
    <col min="12041" max="12041" width="9.7109375" customWidth="1"/>
    <col min="12042" max="12042" width="60.28515625" customWidth="1"/>
    <col min="12043" max="12043" width="50.7109375" customWidth="1"/>
    <col min="12044" max="12044" width="12.140625" customWidth="1"/>
    <col min="12289" max="12289" width="7.28515625" customWidth="1"/>
    <col min="12290" max="12290" width="43.7109375" customWidth="1"/>
    <col min="12291" max="12291" width="8.7109375" customWidth="1"/>
    <col min="12292" max="12292" width="8.85546875" customWidth="1"/>
    <col min="12293" max="12293" width="10.7109375" customWidth="1"/>
    <col min="12294" max="12294" width="11.85546875" customWidth="1"/>
    <col min="12295" max="12295" width="10.85546875" customWidth="1"/>
    <col min="12296" max="12296" width="10.42578125" customWidth="1"/>
    <col min="12297" max="12297" width="9.7109375" customWidth="1"/>
    <col min="12298" max="12298" width="60.28515625" customWidth="1"/>
    <col min="12299" max="12299" width="50.7109375" customWidth="1"/>
    <col min="12300" max="12300" width="12.140625" customWidth="1"/>
    <col min="12545" max="12545" width="7.28515625" customWidth="1"/>
    <col min="12546" max="12546" width="43.7109375" customWidth="1"/>
    <col min="12547" max="12547" width="8.7109375" customWidth="1"/>
    <col min="12548" max="12548" width="8.85546875" customWidth="1"/>
    <col min="12549" max="12549" width="10.7109375" customWidth="1"/>
    <col min="12550" max="12550" width="11.85546875" customWidth="1"/>
    <col min="12551" max="12551" width="10.85546875" customWidth="1"/>
    <col min="12552" max="12552" width="10.42578125" customWidth="1"/>
    <col min="12553" max="12553" width="9.7109375" customWidth="1"/>
    <col min="12554" max="12554" width="60.28515625" customWidth="1"/>
    <col min="12555" max="12555" width="50.7109375" customWidth="1"/>
    <col min="12556" max="12556" width="12.140625" customWidth="1"/>
    <col min="12801" max="12801" width="7.28515625" customWidth="1"/>
    <col min="12802" max="12802" width="43.7109375" customWidth="1"/>
    <col min="12803" max="12803" width="8.7109375" customWidth="1"/>
    <col min="12804" max="12804" width="8.85546875" customWidth="1"/>
    <col min="12805" max="12805" width="10.7109375" customWidth="1"/>
    <col min="12806" max="12806" width="11.85546875" customWidth="1"/>
    <col min="12807" max="12807" width="10.85546875" customWidth="1"/>
    <col min="12808" max="12808" width="10.42578125" customWidth="1"/>
    <col min="12809" max="12809" width="9.7109375" customWidth="1"/>
    <col min="12810" max="12810" width="60.28515625" customWidth="1"/>
    <col min="12811" max="12811" width="50.7109375" customWidth="1"/>
    <col min="12812" max="12812" width="12.140625" customWidth="1"/>
    <col min="13057" max="13057" width="7.28515625" customWidth="1"/>
    <col min="13058" max="13058" width="43.7109375" customWidth="1"/>
    <col min="13059" max="13059" width="8.7109375" customWidth="1"/>
    <col min="13060" max="13060" width="8.85546875" customWidth="1"/>
    <col min="13061" max="13061" width="10.7109375" customWidth="1"/>
    <col min="13062" max="13062" width="11.85546875" customWidth="1"/>
    <col min="13063" max="13063" width="10.85546875" customWidth="1"/>
    <col min="13064" max="13064" width="10.42578125" customWidth="1"/>
    <col min="13065" max="13065" width="9.7109375" customWidth="1"/>
    <col min="13066" max="13066" width="60.28515625" customWidth="1"/>
    <col min="13067" max="13067" width="50.7109375" customWidth="1"/>
    <col min="13068" max="13068" width="12.140625" customWidth="1"/>
    <col min="13313" max="13313" width="7.28515625" customWidth="1"/>
    <col min="13314" max="13314" width="43.7109375" customWidth="1"/>
    <col min="13315" max="13315" width="8.7109375" customWidth="1"/>
    <col min="13316" max="13316" width="8.85546875" customWidth="1"/>
    <col min="13317" max="13317" width="10.7109375" customWidth="1"/>
    <col min="13318" max="13318" width="11.85546875" customWidth="1"/>
    <col min="13319" max="13319" width="10.85546875" customWidth="1"/>
    <col min="13320" max="13320" width="10.42578125" customWidth="1"/>
    <col min="13321" max="13321" width="9.7109375" customWidth="1"/>
    <col min="13322" max="13322" width="60.28515625" customWidth="1"/>
    <col min="13323" max="13323" width="50.7109375" customWidth="1"/>
    <col min="13324" max="13324" width="12.140625" customWidth="1"/>
    <col min="13569" max="13569" width="7.28515625" customWidth="1"/>
    <col min="13570" max="13570" width="43.7109375" customWidth="1"/>
    <col min="13571" max="13571" width="8.7109375" customWidth="1"/>
    <col min="13572" max="13572" width="8.85546875" customWidth="1"/>
    <col min="13573" max="13573" width="10.7109375" customWidth="1"/>
    <col min="13574" max="13574" width="11.85546875" customWidth="1"/>
    <col min="13575" max="13575" width="10.85546875" customWidth="1"/>
    <col min="13576" max="13576" width="10.42578125" customWidth="1"/>
    <col min="13577" max="13577" width="9.7109375" customWidth="1"/>
    <col min="13578" max="13578" width="60.28515625" customWidth="1"/>
    <col min="13579" max="13579" width="50.7109375" customWidth="1"/>
    <col min="13580" max="13580" width="12.140625" customWidth="1"/>
    <col min="13825" max="13825" width="7.28515625" customWidth="1"/>
    <col min="13826" max="13826" width="43.7109375" customWidth="1"/>
    <col min="13827" max="13827" width="8.7109375" customWidth="1"/>
    <col min="13828" max="13828" width="8.85546875" customWidth="1"/>
    <col min="13829" max="13829" width="10.7109375" customWidth="1"/>
    <col min="13830" max="13830" width="11.85546875" customWidth="1"/>
    <col min="13831" max="13831" width="10.85546875" customWidth="1"/>
    <col min="13832" max="13832" width="10.42578125" customWidth="1"/>
    <col min="13833" max="13833" width="9.7109375" customWidth="1"/>
    <col min="13834" max="13834" width="60.28515625" customWidth="1"/>
    <col min="13835" max="13835" width="50.7109375" customWidth="1"/>
    <col min="13836" max="13836" width="12.140625" customWidth="1"/>
    <col min="14081" max="14081" width="7.28515625" customWidth="1"/>
    <col min="14082" max="14082" width="43.7109375" customWidth="1"/>
    <col min="14083" max="14083" width="8.7109375" customWidth="1"/>
    <col min="14084" max="14084" width="8.85546875" customWidth="1"/>
    <col min="14085" max="14085" width="10.7109375" customWidth="1"/>
    <col min="14086" max="14086" width="11.85546875" customWidth="1"/>
    <col min="14087" max="14087" width="10.85546875" customWidth="1"/>
    <col min="14088" max="14088" width="10.42578125" customWidth="1"/>
    <col min="14089" max="14089" width="9.7109375" customWidth="1"/>
    <col min="14090" max="14090" width="60.28515625" customWidth="1"/>
    <col min="14091" max="14091" width="50.7109375" customWidth="1"/>
    <col min="14092" max="14092" width="12.140625" customWidth="1"/>
    <col min="14337" max="14337" width="7.28515625" customWidth="1"/>
    <col min="14338" max="14338" width="43.7109375" customWidth="1"/>
    <col min="14339" max="14339" width="8.7109375" customWidth="1"/>
    <col min="14340" max="14340" width="8.85546875" customWidth="1"/>
    <col min="14341" max="14341" width="10.7109375" customWidth="1"/>
    <col min="14342" max="14342" width="11.85546875" customWidth="1"/>
    <col min="14343" max="14343" width="10.85546875" customWidth="1"/>
    <col min="14344" max="14344" width="10.42578125" customWidth="1"/>
    <col min="14345" max="14345" width="9.7109375" customWidth="1"/>
    <col min="14346" max="14346" width="60.28515625" customWidth="1"/>
    <col min="14347" max="14347" width="50.7109375" customWidth="1"/>
    <col min="14348" max="14348" width="12.140625" customWidth="1"/>
    <col min="14593" max="14593" width="7.28515625" customWidth="1"/>
    <col min="14594" max="14594" width="43.7109375" customWidth="1"/>
    <col min="14595" max="14595" width="8.7109375" customWidth="1"/>
    <col min="14596" max="14596" width="8.85546875" customWidth="1"/>
    <col min="14597" max="14597" width="10.7109375" customWidth="1"/>
    <col min="14598" max="14598" width="11.85546875" customWidth="1"/>
    <col min="14599" max="14599" width="10.85546875" customWidth="1"/>
    <col min="14600" max="14600" width="10.42578125" customWidth="1"/>
    <col min="14601" max="14601" width="9.7109375" customWidth="1"/>
    <col min="14602" max="14602" width="60.28515625" customWidth="1"/>
    <col min="14603" max="14603" width="50.7109375" customWidth="1"/>
    <col min="14604" max="14604" width="12.140625" customWidth="1"/>
    <col min="14849" max="14849" width="7.28515625" customWidth="1"/>
    <col min="14850" max="14850" width="43.7109375" customWidth="1"/>
    <col min="14851" max="14851" width="8.7109375" customWidth="1"/>
    <col min="14852" max="14852" width="8.85546875" customWidth="1"/>
    <col min="14853" max="14853" width="10.7109375" customWidth="1"/>
    <col min="14854" max="14854" width="11.85546875" customWidth="1"/>
    <col min="14855" max="14855" width="10.85546875" customWidth="1"/>
    <col min="14856" max="14856" width="10.42578125" customWidth="1"/>
    <col min="14857" max="14857" width="9.7109375" customWidth="1"/>
    <col min="14858" max="14858" width="60.28515625" customWidth="1"/>
    <col min="14859" max="14859" width="50.7109375" customWidth="1"/>
    <col min="14860" max="14860" width="12.140625" customWidth="1"/>
    <col min="15105" max="15105" width="7.28515625" customWidth="1"/>
    <col min="15106" max="15106" width="43.7109375" customWidth="1"/>
    <col min="15107" max="15107" width="8.7109375" customWidth="1"/>
    <col min="15108" max="15108" width="8.85546875" customWidth="1"/>
    <col min="15109" max="15109" width="10.7109375" customWidth="1"/>
    <col min="15110" max="15110" width="11.85546875" customWidth="1"/>
    <col min="15111" max="15111" width="10.85546875" customWidth="1"/>
    <col min="15112" max="15112" width="10.42578125" customWidth="1"/>
    <col min="15113" max="15113" width="9.7109375" customWidth="1"/>
    <col min="15114" max="15114" width="60.28515625" customWidth="1"/>
    <col min="15115" max="15115" width="50.7109375" customWidth="1"/>
    <col min="15116" max="15116" width="12.140625" customWidth="1"/>
    <col min="15361" max="15361" width="7.28515625" customWidth="1"/>
    <col min="15362" max="15362" width="43.7109375" customWidth="1"/>
    <col min="15363" max="15363" width="8.7109375" customWidth="1"/>
    <col min="15364" max="15364" width="8.85546875" customWidth="1"/>
    <col min="15365" max="15365" width="10.7109375" customWidth="1"/>
    <col min="15366" max="15366" width="11.85546875" customWidth="1"/>
    <col min="15367" max="15367" width="10.85546875" customWidth="1"/>
    <col min="15368" max="15368" width="10.42578125" customWidth="1"/>
    <col min="15369" max="15369" width="9.7109375" customWidth="1"/>
    <col min="15370" max="15370" width="60.28515625" customWidth="1"/>
    <col min="15371" max="15371" width="50.7109375" customWidth="1"/>
    <col min="15372" max="15372" width="12.140625" customWidth="1"/>
    <col min="15617" max="15617" width="7.28515625" customWidth="1"/>
    <col min="15618" max="15618" width="43.7109375" customWidth="1"/>
    <col min="15619" max="15619" width="8.7109375" customWidth="1"/>
    <col min="15620" max="15620" width="8.85546875" customWidth="1"/>
    <col min="15621" max="15621" width="10.7109375" customWidth="1"/>
    <col min="15622" max="15622" width="11.85546875" customWidth="1"/>
    <col min="15623" max="15623" width="10.85546875" customWidth="1"/>
    <col min="15624" max="15624" width="10.42578125" customWidth="1"/>
    <col min="15625" max="15625" width="9.7109375" customWidth="1"/>
    <col min="15626" max="15626" width="60.28515625" customWidth="1"/>
    <col min="15627" max="15627" width="50.7109375" customWidth="1"/>
    <col min="15628" max="15628" width="12.140625" customWidth="1"/>
    <col min="15873" max="15873" width="7.28515625" customWidth="1"/>
    <col min="15874" max="15874" width="43.7109375" customWidth="1"/>
    <col min="15875" max="15875" width="8.7109375" customWidth="1"/>
    <col min="15876" max="15876" width="8.85546875" customWidth="1"/>
    <col min="15877" max="15877" width="10.7109375" customWidth="1"/>
    <col min="15878" max="15878" width="11.85546875" customWidth="1"/>
    <col min="15879" max="15879" width="10.85546875" customWidth="1"/>
    <col min="15880" max="15880" width="10.42578125" customWidth="1"/>
    <col min="15881" max="15881" width="9.7109375" customWidth="1"/>
    <col min="15882" max="15882" width="60.28515625" customWidth="1"/>
    <col min="15883" max="15883" width="50.7109375" customWidth="1"/>
    <col min="15884" max="15884" width="12.140625" customWidth="1"/>
    <col min="16129" max="16129" width="7.28515625" customWidth="1"/>
    <col min="16130" max="16130" width="43.7109375" customWidth="1"/>
    <col min="16131" max="16131" width="8.7109375" customWidth="1"/>
    <col min="16132" max="16132" width="8.85546875" customWidth="1"/>
    <col min="16133" max="16133" width="10.7109375" customWidth="1"/>
    <col min="16134" max="16134" width="11.85546875" customWidth="1"/>
    <col min="16135" max="16135" width="10.85546875" customWidth="1"/>
    <col min="16136" max="16136" width="10.42578125" customWidth="1"/>
    <col min="16137" max="16137" width="9.7109375" customWidth="1"/>
    <col min="16138" max="16138" width="60.28515625" customWidth="1"/>
    <col min="16139" max="16139" width="50.7109375" customWidth="1"/>
    <col min="16140" max="16140" width="12.140625" customWidth="1"/>
  </cols>
  <sheetData>
    <row r="1" spans="1:12" ht="15.75" customHeight="1">
      <c r="A1" s="1059" t="s">
        <v>2669</v>
      </c>
      <c r="B1" s="1060"/>
      <c r="C1" s="1061"/>
      <c r="D1" s="1061"/>
      <c r="E1" s="1061"/>
      <c r="F1" s="1061"/>
      <c r="G1" s="1061"/>
      <c r="H1" s="1061"/>
      <c r="I1" s="1061"/>
      <c r="J1" s="1062"/>
      <c r="K1" s="1063"/>
    </row>
    <row r="2" spans="1:12">
      <c r="A2" s="1064"/>
      <c r="B2" s="1065"/>
      <c r="C2" s="1066"/>
      <c r="D2" s="1066"/>
      <c r="E2" s="1066"/>
      <c r="F2" s="1066"/>
      <c r="G2" s="1066"/>
      <c r="H2" s="1066"/>
      <c r="I2" s="1066"/>
      <c r="J2" s="1067"/>
      <c r="K2" s="1068"/>
    </row>
    <row r="3" spans="1:12" ht="15" customHeight="1">
      <c r="A3" s="819" t="s">
        <v>1</v>
      </c>
      <c r="B3" s="1069" t="s">
        <v>2</v>
      </c>
      <c r="C3" s="821" t="s">
        <v>3</v>
      </c>
      <c r="D3" s="821" t="s">
        <v>4</v>
      </c>
      <c r="E3" s="821"/>
      <c r="F3" s="821"/>
      <c r="G3" s="821"/>
      <c r="H3" s="821"/>
      <c r="I3" s="821"/>
      <c r="J3" s="823" t="s">
        <v>5</v>
      </c>
      <c r="K3" s="821" t="s">
        <v>6</v>
      </c>
    </row>
    <row r="4" spans="1:12" ht="36.75" customHeight="1">
      <c r="A4" s="820"/>
      <c r="B4" s="1070"/>
      <c r="C4" s="822"/>
      <c r="D4" s="442" t="s">
        <v>7</v>
      </c>
      <c r="E4" s="7" t="s">
        <v>8</v>
      </c>
      <c r="F4" s="444" t="s">
        <v>9</v>
      </c>
      <c r="G4" s="7" t="s">
        <v>10</v>
      </c>
      <c r="H4" s="7" t="s">
        <v>11</v>
      </c>
      <c r="I4" s="7" t="s">
        <v>12</v>
      </c>
      <c r="J4" s="824"/>
      <c r="K4" s="822"/>
    </row>
    <row r="5" spans="1:12" ht="15" customHeight="1">
      <c r="A5" s="1071"/>
      <c r="B5" s="1072" t="s">
        <v>13</v>
      </c>
      <c r="C5" s="1073" t="s">
        <v>14</v>
      </c>
      <c r="D5" s="594" t="s">
        <v>8</v>
      </c>
      <c r="E5" s="595">
        <f t="shared" ref="E5:E68" si="0">SUM(F5:I5)</f>
        <v>4300438.9000000004</v>
      </c>
      <c r="F5" s="595">
        <f>SUM(F6:F7)</f>
        <v>3003990.9000000004</v>
      </c>
      <c r="G5" s="595">
        <f>SUM(G6:G7)</f>
        <v>1043525.8</v>
      </c>
      <c r="H5" s="595">
        <f>SUM(H6:H7)</f>
        <v>216922.2</v>
      </c>
      <c r="I5" s="595">
        <f>SUM(I6:I7)</f>
        <v>36000</v>
      </c>
      <c r="J5" s="1074"/>
      <c r="K5" s="1075" t="s">
        <v>2670</v>
      </c>
    </row>
    <row r="6" spans="1:12">
      <c r="A6" s="1071"/>
      <c r="B6" s="1072"/>
      <c r="C6" s="1073"/>
      <c r="D6" s="594">
        <v>2019</v>
      </c>
      <c r="E6" s="595">
        <f t="shared" si="0"/>
        <v>1944680.1000000003</v>
      </c>
      <c r="F6" s="595">
        <f t="shared" ref="F6:I7" si="1">SUM(F15,F54,F117,F270)</f>
        <v>1471857.6000000003</v>
      </c>
      <c r="G6" s="595">
        <f t="shared" si="1"/>
        <v>334080.5</v>
      </c>
      <c r="H6" s="595">
        <f t="shared" si="1"/>
        <v>110442</v>
      </c>
      <c r="I6" s="595">
        <f t="shared" si="1"/>
        <v>28300</v>
      </c>
      <c r="J6" s="1074"/>
      <c r="K6" s="1075"/>
      <c r="L6" s="69"/>
    </row>
    <row r="7" spans="1:12">
      <c r="A7" s="1071"/>
      <c r="B7" s="1072"/>
      <c r="C7" s="1073"/>
      <c r="D7" s="594">
        <v>2020</v>
      </c>
      <c r="E7" s="595">
        <f>SUM(F7:I7)</f>
        <v>2355758.7999999998</v>
      </c>
      <c r="F7" s="595">
        <f t="shared" si="1"/>
        <v>1532133.2999999998</v>
      </c>
      <c r="G7" s="595">
        <f t="shared" si="1"/>
        <v>709445.3</v>
      </c>
      <c r="H7" s="595">
        <f t="shared" si="1"/>
        <v>106480.20000000001</v>
      </c>
      <c r="I7" s="595">
        <f t="shared" si="1"/>
        <v>7700</v>
      </c>
      <c r="J7" s="1074"/>
      <c r="K7" s="1075"/>
      <c r="L7" s="69"/>
    </row>
    <row r="8" spans="1:12">
      <c r="A8" s="1050"/>
      <c r="B8" s="1051" t="s">
        <v>667</v>
      </c>
      <c r="C8" s="1052" t="s">
        <v>14</v>
      </c>
      <c r="D8" s="596" t="s">
        <v>8</v>
      </c>
      <c r="E8" s="597">
        <f t="shared" si="0"/>
        <v>1894104.0000000002</v>
      </c>
      <c r="F8" s="597">
        <f>SUM(F9:F10)</f>
        <v>1745138.9000000001</v>
      </c>
      <c r="G8" s="597">
        <f>SUM(G9:G10)</f>
        <v>141093.00000000006</v>
      </c>
      <c r="H8" s="597">
        <f>SUM(H9:H10)</f>
        <v>7872.1000000000058</v>
      </c>
      <c r="I8" s="597">
        <f>SUM(I9:I10)</f>
        <v>0</v>
      </c>
      <c r="J8" s="1053"/>
      <c r="K8" s="1054" t="s">
        <v>2671</v>
      </c>
    </row>
    <row r="9" spans="1:12">
      <c r="A9" s="1050"/>
      <c r="B9" s="1051"/>
      <c r="C9" s="1052"/>
      <c r="D9" s="596">
        <v>2019</v>
      </c>
      <c r="E9" s="597">
        <f>SUM(F9:I9)</f>
        <v>878753.60000000033</v>
      </c>
      <c r="F9" s="597">
        <f>F6-F12</f>
        <v>814122.40000000037</v>
      </c>
      <c r="G9" s="597">
        <f t="shared" ref="G9:I10" si="2">G6-G12</f>
        <v>61993.200000000012</v>
      </c>
      <c r="H9" s="597">
        <f t="shared" si="2"/>
        <v>2638</v>
      </c>
      <c r="I9" s="597">
        <f t="shared" si="2"/>
        <v>0</v>
      </c>
      <c r="J9" s="1053"/>
      <c r="K9" s="1054"/>
    </row>
    <row r="10" spans="1:12">
      <c r="A10" s="1050"/>
      <c r="B10" s="1051"/>
      <c r="C10" s="1052"/>
      <c r="D10" s="596">
        <v>2020</v>
      </c>
      <c r="E10" s="597">
        <f t="shared" si="0"/>
        <v>1015350.3999999998</v>
      </c>
      <c r="F10" s="597">
        <f>F7-F13</f>
        <v>931016.49999999977</v>
      </c>
      <c r="G10" s="597">
        <f>G7-G13</f>
        <v>79099.800000000047</v>
      </c>
      <c r="H10" s="597">
        <f t="shared" si="2"/>
        <v>5234.1000000000058</v>
      </c>
      <c r="I10" s="597">
        <f t="shared" si="2"/>
        <v>0</v>
      </c>
      <c r="J10" s="1053"/>
      <c r="K10" s="1054"/>
    </row>
    <row r="11" spans="1:12">
      <c r="A11" s="1055"/>
      <c r="B11" s="1056" t="s">
        <v>319</v>
      </c>
      <c r="C11" s="1057" t="s">
        <v>14</v>
      </c>
      <c r="D11" s="598" t="s">
        <v>8</v>
      </c>
      <c r="E11" s="599">
        <f t="shared" si="0"/>
        <v>2406334.9</v>
      </c>
      <c r="F11" s="599">
        <f>SUM(F12:F13)</f>
        <v>1258852</v>
      </c>
      <c r="G11" s="599">
        <f>SUM(G12:G13)</f>
        <v>902432.8</v>
      </c>
      <c r="H11" s="599">
        <f>SUM(H12:H13)</f>
        <v>209050.1</v>
      </c>
      <c r="I11" s="599">
        <f>SUM(I12:I13)</f>
        <v>36000</v>
      </c>
      <c r="J11" s="1058"/>
      <c r="K11" s="1058" t="s">
        <v>2672</v>
      </c>
    </row>
    <row r="12" spans="1:12">
      <c r="A12" s="1055"/>
      <c r="B12" s="1056"/>
      <c r="C12" s="1057"/>
      <c r="D12" s="598">
        <v>2019</v>
      </c>
      <c r="E12" s="599">
        <f t="shared" si="0"/>
        <v>1065926.5</v>
      </c>
      <c r="F12" s="599">
        <f t="shared" ref="F12:I13" si="3">F123+F126+F132+F138+F150+F174+F177+F180+F210+F213+F216+F234+F237+F240+F243+F246+F252+F264+F267+F156+F129+F135+F153+F159+F162+F165+F219+F222</f>
        <v>657735.19999999995</v>
      </c>
      <c r="G12" s="599">
        <f t="shared" si="3"/>
        <v>272087.3</v>
      </c>
      <c r="H12" s="599">
        <f t="shared" si="3"/>
        <v>107804</v>
      </c>
      <c r="I12" s="599">
        <f t="shared" si="3"/>
        <v>28300</v>
      </c>
      <c r="J12" s="1058"/>
      <c r="K12" s="1058"/>
    </row>
    <row r="13" spans="1:12">
      <c r="A13" s="1055"/>
      <c r="B13" s="1056"/>
      <c r="C13" s="1057"/>
      <c r="D13" s="598">
        <v>2020</v>
      </c>
      <c r="E13" s="599">
        <f t="shared" si="0"/>
        <v>1340408.4000000001</v>
      </c>
      <c r="F13" s="599">
        <f t="shared" si="3"/>
        <v>601116.80000000005</v>
      </c>
      <c r="G13" s="599">
        <f t="shared" si="3"/>
        <v>630345.5</v>
      </c>
      <c r="H13" s="599">
        <f t="shared" si="3"/>
        <v>101246.1</v>
      </c>
      <c r="I13" s="599">
        <f t="shared" si="3"/>
        <v>7700</v>
      </c>
      <c r="J13" s="1058"/>
      <c r="K13" s="1058"/>
    </row>
    <row r="14" spans="1:12" ht="15" customHeight="1">
      <c r="A14" s="991" t="s">
        <v>16</v>
      </c>
      <c r="B14" s="992" t="s">
        <v>17</v>
      </c>
      <c r="C14" s="993" t="s">
        <v>2673</v>
      </c>
      <c r="D14" s="600" t="s">
        <v>8</v>
      </c>
      <c r="E14" s="601">
        <f t="shared" si="0"/>
        <v>192963.09999999998</v>
      </c>
      <c r="F14" s="601">
        <f>SUM(F15:F16)</f>
        <v>131755.4</v>
      </c>
      <c r="G14" s="601">
        <f>SUM(G15:G16)</f>
        <v>61207.7</v>
      </c>
      <c r="H14" s="601">
        <f>SUM(H15:H16)</f>
        <v>0</v>
      </c>
      <c r="I14" s="601">
        <f>SUM(I15:I16)</f>
        <v>0</v>
      </c>
      <c r="J14" s="1023"/>
      <c r="K14" s="995" t="s">
        <v>2674</v>
      </c>
    </row>
    <row r="15" spans="1:12">
      <c r="A15" s="991"/>
      <c r="B15" s="992"/>
      <c r="C15" s="993"/>
      <c r="D15" s="600">
        <v>2019</v>
      </c>
      <c r="E15" s="601">
        <f t="shared" si="0"/>
        <v>63574.1</v>
      </c>
      <c r="F15" s="601">
        <f t="shared" ref="F15:I16" si="4">F18+F27+F33</f>
        <v>50490.5</v>
      </c>
      <c r="G15" s="601">
        <f t="shared" si="4"/>
        <v>13083.599999999999</v>
      </c>
      <c r="H15" s="601">
        <f t="shared" si="4"/>
        <v>0</v>
      </c>
      <c r="I15" s="601">
        <f t="shared" si="4"/>
        <v>0</v>
      </c>
      <c r="J15" s="1023"/>
      <c r="K15" s="995"/>
    </row>
    <row r="16" spans="1:12">
      <c r="A16" s="991"/>
      <c r="B16" s="992"/>
      <c r="C16" s="993"/>
      <c r="D16" s="600">
        <v>2020</v>
      </c>
      <c r="E16" s="601">
        <f t="shared" si="0"/>
        <v>129389</v>
      </c>
      <c r="F16" s="601">
        <f>F19+F28+F34</f>
        <v>81264.899999999994</v>
      </c>
      <c r="G16" s="601">
        <f t="shared" si="4"/>
        <v>48124.1</v>
      </c>
      <c r="H16" s="601">
        <f t="shared" si="4"/>
        <v>0</v>
      </c>
      <c r="I16" s="601">
        <f t="shared" si="4"/>
        <v>0</v>
      </c>
      <c r="J16" s="1023"/>
      <c r="K16" s="995"/>
    </row>
    <row r="17" spans="1:11" ht="15" customHeight="1" outlineLevel="1">
      <c r="A17" s="1021" t="s">
        <v>173</v>
      </c>
      <c r="B17" s="1002" t="s">
        <v>20</v>
      </c>
      <c r="C17" s="1003">
        <v>2019</v>
      </c>
      <c r="D17" s="602" t="s">
        <v>8</v>
      </c>
      <c r="E17" s="603">
        <f t="shared" si="0"/>
        <v>41585.5</v>
      </c>
      <c r="F17" s="603">
        <f>F18+F19</f>
        <v>41585.5</v>
      </c>
      <c r="G17" s="603">
        <f>G18+G19</f>
        <v>0</v>
      </c>
      <c r="H17" s="603">
        <f>H18+H19</f>
        <v>0</v>
      </c>
      <c r="I17" s="603">
        <f>I18+I19</f>
        <v>0</v>
      </c>
      <c r="J17" s="1004" t="s">
        <v>21</v>
      </c>
      <c r="K17" s="1005" t="s">
        <v>2675</v>
      </c>
    </row>
    <row r="18" spans="1:11" ht="16.5" customHeight="1" outlineLevel="1">
      <c r="A18" s="1021"/>
      <c r="B18" s="1002"/>
      <c r="C18" s="1003"/>
      <c r="D18" s="602">
        <v>2019</v>
      </c>
      <c r="E18" s="603">
        <f t="shared" si="0"/>
        <v>22585.5</v>
      </c>
      <c r="F18" s="603">
        <f>F21+F24</f>
        <v>22585.5</v>
      </c>
      <c r="G18" s="603">
        <f t="shared" ref="G18:I19" si="5">G21+G24</f>
        <v>0</v>
      </c>
      <c r="H18" s="603">
        <f t="shared" si="5"/>
        <v>0</v>
      </c>
      <c r="I18" s="603">
        <f t="shared" si="5"/>
        <v>0</v>
      </c>
      <c r="J18" s="1004"/>
      <c r="K18" s="1005"/>
    </row>
    <row r="19" spans="1:11" ht="16.5" customHeight="1" outlineLevel="1">
      <c r="A19" s="1021"/>
      <c r="B19" s="1002"/>
      <c r="C19" s="1003"/>
      <c r="D19" s="602">
        <v>2020</v>
      </c>
      <c r="E19" s="603">
        <f t="shared" si="0"/>
        <v>19000</v>
      </c>
      <c r="F19" s="603">
        <f>F22+F25</f>
        <v>19000</v>
      </c>
      <c r="G19" s="603">
        <f t="shared" si="5"/>
        <v>0</v>
      </c>
      <c r="H19" s="603">
        <f t="shared" si="5"/>
        <v>0</v>
      </c>
      <c r="I19" s="603">
        <f t="shared" si="5"/>
        <v>0</v>
      </c>
      <c r="J19" s="1004"/>
      <c r="K19" s="1005"/>
    </row>
    <row r="20" spans="1:11" s="2" customFormat="1" ht="15" customHeight="1" outlineLevel="1">
      <c r="A20" s="765" t="s">
        <v>19</v>
      </c>
      <c r="B20" s="1041" t="s">
        <v>190</v>
      </c>
      <c r="C20" s="997">
        <v>2019</v>
      </c>
      <c r="D20" s="443" t="s">
        <v>8</v>
      </c>
      <c r="E20" s="13">
        <f t="shared" si="0"/>
        <v>22585.5</v>
      </c>
      <c r="F20" s="13">
        <f>F21+F22</f>
        <v>22585.5</v>
      </c>
      <c r="G20" s="13">
        <f>G21+G22</f>
        <v>0</v>
      </c>
      <c r="H20" s="13">
        <f>H21+H22</f>
        <v>0</v>
      </c>
      <c r="I20" s="13">
        <f>I21+I22</f>
        <v>0</v>
      </c>
      <c r="J20" s="824" t="s">
        <v>2676</v>
      </c>
      <c r="K20" s="824" t="s">
        <v>2677</v>
      </c>
    </row>
    <row r="21" spans="1:11" s="2" customFormat="1" outlineLevel="1">
      <c r="A21" s="762"/>
      <c r="B21" s="1042"/>
      <c r="C21" s="997"/>
      <c r="D21" s="443">
        <v>2019</v>
      </c>
      <c r="E21" s="13">
        <f t="shared" si="0"/>
        <v>22585.5</v>
      </c>
      <c r="F21" s="604">
        <v>22585.5</v>
      </c>
      <c r="G21" s="604">
        <v>0</v>
      </c>
      <c r="H21" s="604">
        <v>0</v>
      </c>
      <c r="I21" s="604">
        <v>0</v>
      </c>
      <c r="J21" s="824"/>
      <c r="K21" s="824"/>
    </row>
    <row r="22" spans="1:11" s="2" customFormat="1" outlineLevel="1">
      <c r="A22" s="762"/>
      <c r="B22" s="1043"/>
      <c r="C22" s="997"/>
      <c r="D22" s="443">
        <v>2020</v>
      </c>
      <c r="E22" s="13">
        <f t="shared" si="0"/>
        <v>0</v>
      </c>
      <c r="F22" s="604">
        <v>0</v>
      </c>
      <c r="G22" s="604">
        <v>0</v>
      </c>
      <c r="H22" s="604">
        <v>0</v>
      </c>
      <c r="I22" s="604">
        <v>0</v>
      </c>
      <c r="J22" s="824"/>
      <c r="K22" s="824"/>
    </row>
    <row r="23" spans="1:11" s="2" customFormat="1" ht="15" customHeight="1" outlineLevel="1">
      <c r="A23" s="765" t="s">
        <v>181</v>
      </c>
      <c r="B23" s="1044" t="s">
        <v>669</v>
      </c>
      <c r="C23" s="997">
        <v>2020</v>
      </c>
      <c r="D23" s="443" t="s">
        <v>8</v>
      </c>
      <c r="E23" s="13">
        <f>SUM(F23:I23)</f>
        <v>19000</v>
      </c>
      <c r="F23" s="13">
        <f>F24+F25</f>
        <v>19000</v>
      </c>
      <c r="G23" s="13">
        <f>G24+G25</f>
        <v>0</v>
      </c>
      <c r="H23" s="13">
        <f>H24+H25</f>
        <v>0</v>
      </c>
      <c r="I23" s="13">
        <f>I24+I25</f>
        <v>0</v>
      </c>
      <c r="J23" s="1047" t="s">
        <v>2678</v>
      </c>
      <c r="K23" s="1008" t="s">
        <v>2677</v>
      </c>
    </row>
    <row r="24" spans="1:11" s="2" customFormat="1" outlineLevel="1">
      <c r="A24" s="762"/>
      <c r="B24" s="1045"/>
      <c r="C24" s="997"/>
      <c r="D24" s="443">
        <v>2019</v>
      </c>
      <c r="E24" s="13">
        <f>SUM(F24:I24)</f>
        <v>0</v>
      </c>
      <c r="F24" s="604">
        <v>0</v>
      </c>
      <c r="G24" s="604">
        <v>0</v>
      </c>
      <c r="H24" s="604">
        <v>0</v>
      </c>
      <c r="I24" s="604">
        <v>0</v>
      </c>
      <c r="J24" s="1048"/>
      <c r="K24" s="1008"/>
    </row>
    <row r="25" spans="1:11" s="2" customFormat="1" outlineLevel="1">
      <c r="A25" s="762"/>
      <c r="B25" s="1046"/>
      <c r="C25" s="997"/>
      <c r="D25" s="443">
        <v>2020</v>
      </c>
      <c r="E25" s="13">
        <f>SUM(F25:I25)</f>
        <v>19000</v>
      </c>
      <c r="F25" s="605">
        <v>19000</v>
      </c>
      <c r="G25" s="604">
        <v>0</v>
      </c>
      <c r="H25" s="604">
        <v>0</v>
      </c>
      <c r="I25" s="604">
        <v>0</v>
      </c>
      <c r="J25" s="1049"/>
      <c r="K25" s="1008"/>
    </row>
    <row r="26" spans="1:11" ht="20.100000000000001" customHeight="1" outlineLevel="1">
      <c r="A26" s="1021" t="s">
        <v>174</v>
      </c>
      <c r="B26" s="1002" t="s">
        <v>34</v>
      </c>
      <c r="C26" s="1003" t="s">
        <v>2673</v>
      </c>
      <c r="D26" s="602" t="s">
        <v>8</v>
      </c>
      <c r="E26" s="603">
        <f t="shared" si="0"/>
        <v>855</v>
      </c>
      <c r="F26" s="603">
        <f>F27+F28</f>
        <v>855</v>
      </c>
      <c r="G26" s="603">
        <f>G27+G28</f>
        <v>0</v>
      </c>
      <c r="H26" s="603">
        <f>H27+H28</f>
        <v>0</v>
      </c>
      <c r="I26" s="603">
        <f>I27+I28</f>
        <v>0</v>
      </c>
      <c r="J26" s="1028" t="s">
        <v>2679</v>
      </c>
      <c r="K26" s="1005" t="s">
        <v>2674</v>
      </c>
    </row>
    <row r="27" spans="1:11" ht="20.100000000000001" customHeight="1" outlineLevel="1">
      <c r="A27" s="1021"/>
      <c r="B27" s="1002"/>
      <c r="C27" s="1003"/>
      <c r="D27" s="602">
        <v>2019</v>
      </c>
      <c r="E27" s="603">
        <f t="shared" si="0"/>
        <v>427.5</v>
      </c>
      <c r="F27" s="603">
        <f t="shared" ref="F27:I28" si="6">F30</f>
        <v>427.5</v>
      </c>
      <c r="G27" s="603">
        <f t="shared" si="6"/>
        <v>0</v>
      </c>
      <c r="H27" s="603">
        <f t="shared" si="6"/>
        <v>0</v>
      </c>
      <c r="I27" s="603">
        <f t="shared" si="6"/>
        <v>0</v>
      </c>
      <c r="J27" s="1028"/>
      <c r="K27" s="1005"/>
    </row>
    <row r="28" spans="1:11" ht="18.75" customHeight="1" outlineLevel="1">
      <c r="A28" s="1021"/>
      <c r="B28" s="1002"/>
      <c r="C28" s="1003"/>
      <c r="D28" s="602">
        <v>2020</v>
      </c>
      <c r="E28" s="603">
        <f t="shared" si="0"/>
        <v>427.5</v>
      </c>
      <c r="F28" s="603">
        <f t="shared" si="6"/>
        <v>427.5</v>
      </c>
      <c r="G28" s="603">
        <f t="shared" si="6"/>
        <v>0</v>
      </c>
      <c r="H28" s="603">
        <f t="shared" si="6"/>
        <v>0</v>
      </c>
      <c r="I28" s="603">
        <f t="shared" si="6"/>
        <v>0</v>
      </c>
      <c r="J28" s="1028"/>
      <c r="K28" s="1005"/>
    </row>
    <row r="29" spans="1:11" s="2" customFormat="1" ht="18.75" customHeight="1" outlineLevel="1">
      <c r="A29" s="762" t="s">
        <v>33</v>
      </c>
      <c r="B29" s="989" t="s">
        <v>22</v>
      </c>
      <c r="C29" s="990" t="s">
        <v>2673</v>
      </c>
      <c r="D29" s="443" t="s">
        <v>8</v>
      </c>
      <c r="E29" s="13">
        <f t="shared" si="0"/>
        <v>855</v>
      </c>
      <c r="F29" s="13">
        <f>F30+F31</f>
        <v>855</v>
      </c>
      <c r="G29" s="13">
        <f>G30+G31</f>
        <v>0</v>
      </c>
      <c r="H29" s="13">
        <f>H30+H31</f>
        <v>0</v>
      </c>
      <c r="I29" s="13">
        <f>I30+I31</f>
        <v>0</v>
      </c>
      <c r="J29" s="1038" t="s">
        <v>2680</v>
      </c>
      <c r="K29" s="824" t="s">
        <v>23</v>
      </c>
    </row>
    <row r="30" spans="1:11" s="2" customFormat="1" ht="18.75" customHeight="1" outlineLevel="1">
      <c r="A30" s="762"/>
      <c r="B30" s="989"/>
      <c r="C30" s="990"/>
      <c r="D30" s="443">
        <v>2019</v>
      </c>
      <c r="E30" s="13">
        <f t="shared" si="0"/>
        <v>427.5</v>
      </c>
      <c r="F30" s="13">
        <v>427.5</v>
      </c>
      <c r="G30" s="604">
        <v>0</v>
      </c>
      <c r="H30" s="604">
        <v>0</v>
      </c>
      <c r="I30" s="604">
        <v>0</v>
      </c>
      <c r="J30" s="1038"/>
      <c r="K30" s="824"/>
    </row>
    <row r="31" spans="1:11" s="2" customFormat="1" ht="18.75" customHeight="1" outlineLevel="1">
      <c r="A31" s="762"/>
      <c r="B31" s="989"/>
      <c r="C31" s="990"/>
      <c r="D31" s="443">
        <v>2020</v>
      </c>
      <c r="E31" s="13">
        <f t="shared" si="0"/>
        <v>427.5</v>
      </c>
      <c r="F31" s="13">
        <v>427.5</v>
      </c>
      <c r="G31" s="604">
        <v>0</v>
      </c>
      <c r="H31" s="604">
        <v>0</v>
      </c>
      <c r="I31" s="604">
        <v>0</v>
      </c>
      <c r="J31" s="1038"/>
      <c r="K31" s="824"/>
    </row>
    <row r="32" spans="1:11" s="2" customFormat="1" ht="15" customHeight="1" outlineLevel="1">
      <c r="A32" s="1001" t="s">
        <v>531</v>
      </c>
      <c r="B32" s="1040" t="s">
        <v>633</v>
      </c>
      <c r="C32" s="1030" t="s">
        <v>2673</v>
      </c>
      <c r="D32" s="606" t="s">
        <v>8</v>
      </c>
      <c r="E32" s="607">
        <f t="shared" si="0"/>
        <v>150522.59999999998</v>
      </c>
      <c r="F32" s="607">
        <f>F33+F34</f>
        <v>89314.9</v>
      </c>
      <c r="G32" s="607">
        <f>G33+G34</f>
        <v>61207.7</v>
      </c>
      <c r="H32" s="607">
        <f>H33+H34</f>
        <v>0</v>
      </c>
      <c r="I32" s="607">
        <f>I33+I34</f>
        <v>0</v>
      </c>
      <c r="J32" s="1004" t="s">
        <v>2681</v>
      </c>
      <c r="K32" s="1004" t="s">
        <v>2682</v>
      </c>
    </row>
    <row r="33" spans="1:11" outlineLevel="1">
      <c r="A33" s="1001"/>
      <c r="B33" s="1040"/>
      <c r="C33" s="1030"/>
      <c r="D33" s="606">
        <v>2019</v>
      </c>
      <c r="E33" s="607">
        <f t="shared" si="0"/>
        <v>40561.1</v>
      </c>
      <c r="F33" s="607">
        <f>F36+F39+F42+F45+F48+F51</f>
        <v>27477.5</v>
      </c>
      <c r="G33" s="607">
        <f t="shared" ref="G33:I34" si="7">G36+G39+G42+G45+G48+G51</f>
        <v>13083.599999999999</v>
      </c>
      <c r="H33" s="607">
        <f t="shared" si="7"/>
        <v>0</v>
      </c>
      <c r="I33" s="607">
        <f t="shared" si="7"/>
        <v>0</v>
      </c>
      <c r="J33" s="1004"/>
      <c r="K33" s="1004"/>
    </row>
    <row r="34" spans="1:11" outlineLevel="1">
      <c r="A34" s="1001"/>
      <c r="B34" s="1040"/>
      <c r="C34" s="1030"/>
      <c r="D34" s="606">
        <v>2020</v>
      </c>
      <c r="E34" s="607">
        <f t="shared" si="0"/>
        <v>109961.5</v>
      </c>
      <c r="F34" s="607">
        <f>F37+F40+F43+F46+F49+F52</f>
        <v>61837.4</v>
      </c>
      <c r="G34" s="607">
        <f t="shared" si="7"/>
        <v>48124.1</v>
      </c>
      <c r="H34" s="607">
        <f t="shared" si="7"/>
        <v>0</v>
      </c>
      <c r="I34" s="607">
        <f t="shared" si="7"/>
        <v>0</v>
      </c>
      <c r="J34" s="1004"/>
      <c r="K34" s="1004"/>
    </row>
    <row r="35" spans="1:11" s="2" customFormat="1" ht="15.75" customHeight="1" outlineLevel="1">
      <c r="A35" s="762" t="s">
        <v>634</v>
      </c>
      <c r="B35" s="998" t="s">
        <v>670</v>
      </c>
      <c r="C35" s="990" t="s">
        <v>2673</v>
      </c>
      <c r="D35" s="443" t="s">
        <v>8</v>
      </c>
      <c r="E35" s="13">
        <f t="shared" si="0"/>
        <v>52263.200000000004</v>
      </c>
      <c r="F35" s="13">
        <f>F36+F37</f>
        <v>3135.8</v>
      </c>
      <c r="G35" s="13">
        <f>G36+G37</f>
        <v>49127.4</v>
      </c>
      <c r="H35" s="13">
        <f>H36+H37</f>
        <v>0</v>
      </c>
      <c r="I35" s="13">
        <f>I36+I37</f>
        <v>0</v>
      </c>
      <c r="J35" s="1008" t="s">
        <v>2683</v>
      </c>
      <c r="K35" s="1016" t="s">
        <v>2684</v>
      </c>
    </row>
    <row r="36" spans="1:11" s="2" customFormat="1" outlineLevel="1">
      <c r="A36" s="762"/>
      <c r="B36" s="998"/>
      <c r="C36" s="990"/>
      <c r="D36" s="443">
        <v>2019</v>
      </c>
      <c r="E36" s="13">
        <f t="shared" si="0"/>
        <v>6365.2999999999993</v>
      </c>
      <c r="F36" s="604">
        <v>381.9</v>
      </c>
      <c r="G36" s="604">
        <v>5983.4</v>
      </c>
      <c r="H36" s="604">
        <v>0</v>
      </c>
      <c r="I36" s="604">
        <v>0</v>
      </c>
      <c r="J36" s="1008"/>
      <c r="K36" s="1016"/>
    </row>
    <row r="37" spans="1:11" s="2" customFormat="1" outlineLevel="1">
      <c r="A37" s="762"/>
      <c r="B37" s="998"/>
      <c r="C37" s="990"/>
      <c r="D37" s="443">
        <v>2020</v>
      </c>
      <c r="E37" s="13">
        <f t="shared" si="0"/>
        <v>45897.9</v>
      </c>
      <c r="F37" s="604">
        <v>2753.9</v>
      </c>
      <c r="G37" s="604">
        <v>43144</v>
      </c>
      <c r="H37" s="604">
        <v>0</v>
      </c>
      <c r="I37" s="604">
        <v>0</v>
      </c>
      <c r="J37" s="1008"/>
      <c r="K37" s="1016"/>
    </row>
    <row r="38" spans="1:11" s="2" customFormat="1" ht="15" customHeight="1" outlineLevel="1">
      <c r="A38" s="762" t="s">
        <v>2685</v>
      </c>
      <c r="B38" s="998" t="s">
        <v>2686</v>
      </c>
      <c r="C38" s="990">
        <v>2019</v>
      </c>
      <c r="D38" s="443" t="s">
        <v>8</v>
      </c>
      <c r="E38" s="13">
        <f t="shared" si="0"/>
        <v>10000.299999999999</v>
      </c>
      <c r="F38" s="13">
        <f>F39+F40</f>
        <v>2900.1</v>
      </c>
      <c r="G38" s="13">
        <f>G39+G40</f>
        <v>7100.2</v>
      </c>
      <c r="H38" s="13">
        <f>H39+H40</f>
        <v>0</v>
      </c>
      <c r="I38" s="13">
        <f>I39+I40</f>
        <v>0</v>
      </c>
      <c r="J38" s="824" t="s">
        <v>2687</v>
      </c>
      <c r="K38" s="824" t="s">
        <v>2671</v>
      </c>
    </row>
    <row r="39" spans="1:11" outlineLevel="1">
      <c r="A39" s="762"/>
      <c r="B39" s="998"/>
      <c r="C39" s="990"/>
      <c r="D39" s="443">
        <v>2019</v>
      </c>
      <c r="E39" s="13">
        <f t="shared" si="0"/>
        <v>10000.299999999999</v>
      </c>
      <c r="F39" s="604">
        <v>2900.1</v>
      </c>
      <c r="G39" s="604">
        <v>7100.2</v>
      </c>
      <c r="H39" s="604">
        <v>0</v>
      </c>
      <c r="I39" s="604">
        <v>0</v>
      </c>
      <c r="J39" s="824"/>
      <c r="K39" s="824"/>
    </row>
    <row r="40" spans="1:11" outlineLevel="1">
      <c r="A40" s="762"/>
      <c r="B40" s="998"/>
      <c r="C40" s="990"/>
      <c r="D40" s="443">
        <v>2020</v>
      </c>
      <c r="E40" s="13">
        <f t="shared" si="0"/>
        <v>0</v>
      </c>
      <c r="F40" s="604">
        <v>0</v>
      </c>
      <c r="G40" s="604">
        <v>0</v>
      </c>
      <c r="H40" s="604">
        <v>0</v>
      </c>
      <c r="I40" s="604">
        <v>0</v>
      </c>
      <c r="J40" s="824"/>
      <c r="K40" s="824"/>
    </row>
    <row r="41" spans="1:11" s="2" customFormat="1" ht="15" customHeight="1" outlineLevel="1">
      <c r="A41" s="762" t="s">
        <v>671</v>
      </c>
      <c r="B41" s="989" t="s">
        <v>672</v>
      </c>
      <c r="C41" s="990" t="s">
        <v>2673</v>
      </c>
      <c r="D41" s="443" t="s">
        <v>8</v>
      </c>
      <c r="E41" s="13">
        <f t="shared" si="0"/>
        <v>3272.2</v>
      </c>
      <c r="F41" s="13">
        <f>F42+F43</f>
        <v>3272.2</v>
      </c>
      <c r="G41" s="13">
        <f>G42+G43</f>
        <v>0</v>
      </c>
      <c r="H41" s="13">
        <f>H42+H43</f>
        <v>0</v>
      </c>
      <c r="I41" s="13">
        <f>I42+I43</f>
        <v>0</v>
      </c>
      <c r="J41" s="824" t="s">
        <v>25</v>
      </c>
      <c r="K41" s="824" t="s">
        <v>2671</v>
      </c>
    </row>
    <row r="42" spans="1:11" s="2" customFormat="1" outlineLevel="1">
      <c r="A42" s="762"/>
      <c r="B42" s="989"/>
      <c r="C42" s="990"/>
      <c r="D42" s="443">
        <v>2019</v>
      </c>
      <c r="E42" s="13">
        <f t="shared" si="0"/>
        <v>1636.1</v>
      </c>
      <c r="F42" s="604">
        <v>1636.1</v>
      </c>
      <c r="G42" s="604">
        <v>0</v>
      </c>
      <c r="H42" s="604">
        <v>0</v>
      </c>
      <c r="I42" s="604">
        <v>0</v>
      </c>
      <c r="J42" s="824"/>
      <c r="K42" s="824"/>
    </row>
    <row r="43" spans="1:11" s="2" customFormat="1" outlineLevel="1">
      <c r="A43" s="762"/>
      <c r="B43" s="989"/>
      <c r="C43" s="990"/>
      <c r="D43" s="443">
        <v>2020</v>
      </c>
      <c r="E43" s="13">
        <f t="shared" si="0"/>
        <v>1636.1</v>
      </c>
      <c r="F43" s="604">
        <v>1636.1</v>
      </c>
      <c r="G43" s="604">
        <v>0</v>
      </c>
      <c r="H43" s="604">
        <v>0</v>
      </c>
      <c r="I43" s="604">
        <v>0</v>
      </c>
      <c r="J43" s="824"/>
      <c r="K43" s="824"/>
    </row>
    <row r="44" spans="1:11" s="608" customFormat="1" ht="19.5" customHeight="1" outlineLevel="1">
      <c r="A44" s="762" t="s">
        <v>673</v>
      </c>
      <c r="B44" s="1007" t="s">
        <v>674</v>
      </c>
      <c r="C44" s="990" t="s">
        <v>2673</v>
      </c>
      <c r="D44" s="443" t="s">
        <v>8</v>
      </c>
      <c r="E44" s="13">
        <f t="shared" si="0"/>
        <v>6700</v>
      </c>
      <c r="F44" s="13">
        <f>F45+F46</f>
        <v>6700</v>
      </c>
      <c r="G44" s="13">
        <f>G45+G46</f>
        <v>0</v>
      </c>
      <c r="H44" s="13">
        <f>H45+H46</f>
        <v>0</v>
      </c>
      <c r="I44" s="13">
        <f>I45+I46</f>
        <v>0</v>
      </c>
      <c r="J44" s="1038" t="s">
        <v>2688</v>
      </c>
      <c r="K44" s="824" t="s">
        <v>2671</v>
      </c>
    </row>
    <row r="45" spans="1:11" s="608" customFormat="1" ht="19.5" customHeight="1" outlineLevel="1">
      <c r="A45" s="762"/>
      <c r="B45" s="1007"/>
      <c r="C45" s="990"/>
      <c r="D45" s="443">
        <v>2019</v>
      </c>
      <c r="E45" s="13">
        <f t="shared" si="0"/>
        <v>2000</v>
      </c>
      <c r="F45" s="604">
        <v>2000</v>
      </c>
      <c r="G45" s="604">
        <v>0</v>
      </c>
      <c r="H45" s="604">
        <v>0</v>
      </c>
      <c r="I45" s="604">
        <v>0</v>
      </c>
      <c r="J45" s="1038"/>
      <c r="K45" s="824"/>
    </row>
    <row r="46" spans="1:11" s="608" customFormat="1" ht="19.5" customHeight="1" outlineLevel="1">
      <c r="A46" s="762"/>
      <c r="B46" s="1007"/>
      <c r="C46" s="990"/>
      <c r="D46" s="443">
        <v>2020</v>
      </c>
      <c r="E46" s="13">
        <f t="shared" si="0"/>
        <v>4700</v>
      </c>
      <c r="F46" s="609">
        <f>2000+2700</f>
        <v>4700</v>
      </c>
      <c r="G46" s="604">
        <v>0</v>
      </c>
      <c r="H46" s="604">
        <v>0</v>
      </c>
      <c r="I46" s="604">
        <v>0</v>
      </c>
      <c r="J46" s="1038"/>
      <c r="K46" s="824"/>
    </row>
    <row r="47" spans="1:11" s="2" customFormat="1" ht="15.75" customHeight="1" outlineLevel="1">
      <c r="A47" s="762" t="s">
        <v>675</v>
      </c>
      <c r="B47" s="989" t="s">
        <v>638</v>
      </c>
      <c r="C47" s="990">
        <v>2020</v>
      </c>
      <c r="D47" s="443" t="s">
        <v>8</v>
      </c>
      <c r="E47" s="13">
        <f t="shared" si="0"/>
        <v>7014.2000000000007</v>
      </c>
      <c r="F47" s="13">
        <f>F48+F49</f>
        <v>2034.1</v>
      </c>
      <c r="G47" s="13">
        <f>G48+G49</f>
        <v>4980.1000000000004</v>
      </c>
      <c r="H47" s="13">
        <f>H48+H49</f>
        <v>0</v>
      </c>
      <c r="I47" s="13">
        <f>I48+I49</f>
        <v>0</v>
      </c>
      <c r="J47" s="1008" t="s">
        <v>2689</v>
      </c>
      <c r="K47" s="824" t="s">
        <v>2671</v>
      </c>
    </row>
    <row r="48" spans="1:11" s="2" customFormat="1" outlineLevel="1">
      <c r="A48" s="762"/>
      <c r="B48" s="989"/>
      <c r="C48" s="990"/>
      <c r="D48" s="443">
        <v>2019</v>
      </c>
      <c r="E48" s="13">
        <f t="shared" si="0"/>
        <v>0</v>
      </c>
      <c r="F48" s="604">
        <v>0</v>
      </c>
      <c r="G48" s="604">
        <v>0</v>
      </c>
      <c r="H48" s="604">
        <v>0</v>
      </c>
      <c r="I48" s="604">
        <v>0</v>
      </c>
      <c r="J48" s="1008"/>
      <c r="K48" s="824"/>
    </row>
    <row r="49" spans="1:11" s="2" customFormat="1" outlineLevel="1">
      <c r="A49" s="762"/>
      <c r="B49" s="989"/>
      <c r="C49" s="990"/>
      <c r="D49" s="443">
        <v>2020</v>
      </c>
      <c r="E49" s="13">
        <f t="shared" si="0"/>
        <v>7014.2000000000007</v>
      </c>
      <c r="F49" s="604">
        <v>2034.1</v>
      </c>
      <c r="G49" s="604">
        <v>4980.1000000000004</v>
      </c>
      <c r="H49" s="604">
        <v>0</v>
      </c>
      <c r="I49" s="604">
        <v>0</v>
      </c>
      <c r="J49" s="1008"/>
      <c r="K49" s="824"/>
    </row>
    <row r="50" spans="1:11" s="608" customFormat="1" ht="16.5" customHeight="1" outlineLevel="1">
      <c r="A50" s="762" t="s">
        <v>676</v>
      </c>
      <c r="B50" s="989" t="s">
        <v>22</v>
      </c>
      <c r="C50" s="990" t="s">
        <v>2673</v>
      </c>
      <c r="D50" s="443" t="s">
        <v>8</v>
      </c>
      <c r="E50" s="13">
        <f t="shared" si="0"/>
        <v>71272.700000000012</v>
      </c>
      <c r="F50" s="13">
        <f>F51+F52</f>
        <v>71272.700000000012</v>
      </c>
      <c r="G50" s="13">
        <f>G51+G52</f>
        <v>0</v>
      </c>
      <c r="H50" s="13">
        <f>H51+H52</f>
        <v>0</v>
      </c>
      <c r="I50" s="13">
        <f>I51+I52</f>
        <v>0</v>
      </c>
      <c r="J50" s="1038" t="s">
        <v>2690</v>
      </c>
      <c r="K50" s="824" t="s">
        <v>23</v>
      </c>
    </row>
    <row r="51" spans="1:11" s="608" customFormat="1" outlineLevel="1">
      <c r="A51" s="762"/>
      <c r="B51" s="989"/>
      <c r="C51" s="990"/>
      <c r="D51" s="443">
        <v>2019</v>
      </c>
      <c r="E51" s="13">
        <f t="shared" si="0"/>
        <v>20559.400000000001</v>
      </c>
      <c r="F51" s="13">
        <v>20559.400000000001</v>
      </c>
      <c r="G51" s="604">
        <v>0</v>
      </c>
      <c r="H51" s="604">
        <v>0</v>
      </c>
      <c r="I51" s="604">
        <v>0</v>
      </c>
      <c r="J51" s="1038"/>
      <c r="K51" s="824"/>
    </row>
    <row r="52" spans="1:11" s="608" customFormat="1" outlineLevel="1">
      <c r="A52" s="762"/>
      <c r="B52" s="989"/>
      <c r="C52" s="990"/>
      <c r="D52" s="443">
        <v>2020</v>
      </c>
      <c r="E52" s="13">
        <f t="shared" si="0"/>
        <v>50713.3</v>
      </c>
      <c r="F52" s="609">
        <f>23913.3+26800</f>
        <v>50713.3</v>
      </c>
      <c r="G52" s="604">
        <v>0</v>
      </c>
      <c r="H52" s="604">
        <v>0</v>
      </c>
      <c r="I52" s="604">
        <v>0</v>
      </c>
      <c r="J52" s="1038"/>
      <c r="K52" s="824"/>
    </row>
    <row r="53" spans="1:11" s="2" customFormat="1" ht="15" customHeight="1">
      <c r="A53" s="991" t="s">
        <v>40</v>
      </c>
      <c r="B53" s="1039" t="s">
        <v>41</v>
      </c>
      <c r="C53" s="993" t="s">
        <v>2673</v>
      </c>
      <c r="D53" s="600" t="s">
        <v>8</v>
      </c>
      <c r="E53" s="601">
        <f t="shared" si="0"/>
        <v>1435324.7000000002</v>
      </c>
      <c r="F53" s="601">
        <f>F54+F55</f>
        <v>1392682.3</v>
      </c>
      <c r="G53" s="601">
        <f>G54+G55</f>
        <v>39885.300000000003</v>
      </c>
      <c r="H53" s="601">
        <f>H54+H55</f>
        <v>2757.1</v>
      </c>
      <c r="I53" s="601">
        <f>I54+I55</f>
        <v>0</v>
      </c>
      <c r="J53" s="1023"/>
      <c r="K53" s="995" t="s">
        <v>2682</v>
      </c>
    </row>
    <row r="54" spans="1:11">
      <c r="A54" s="991"/>
      <c r="B54" s="1039"/>
      <c r="C54" s="993"/>
      <c r="D54" s="600">
        <v>2019</v>
      </c>
      <c r="E54" s="601">
        <f t="shared" si="0"/>
        <v>656487.80000000005</v>
      </c>
      <c r="F54" s="601">
        <f t="shared" ref="F54:I55" si="8">F57+F81+F96+F102</f>
        <v>647578.20000000007</v>
      </c>
      <c r="G54" s="601">
        <f t="shared" si="8"/>
        <v>8909.6</v>
      </c>
      <c r="H54" s="601">
        <f t="shared" si="8"/>
        <v>0</v>
      </c>
      <c r="I54" s="601">
        <f t="shared" si="8"/>
        <v>0</v>
      </c>
      <c r="J54" s="1023"/>
      <c r="K54" s="995"/>
    </row>
    <row r="55" spans="1:11">
      <c r="A55" s="991"/>
      <c r="B55" s="1039"/>
      <c r="C55" s="993"/>
      <c r="D55" s="600">
        <v>2020</v>
      </c>
      <c r="E55" s="601">
        <f t="shared" si="0"/>
        <v>778836.89999999991</v>
      </c>
      <c r="F55" s="601">
        <f>F58+F82+F97+F103</f>
        <v>745104.1</v>
      </c>
      <c r="G55" s="601">
        <f t="shared" si="8"/>
        <v>30975.7</v>
      </c>
      <c r="H55" s="601">
        <f t="shared" si="8"/>
        <v>2757.1</v>
      </c>
      <c r="I55" s="601">
        <f t="shared" si="8"/>
        <v>0</v>
      </c>
      <c r="J55" s="1023"/>
      <c r="K55" s="995"/>
    </row>
    <row r="56" spans="1:11" ht="13.5" customHeight="1" outlineLevel="1">
      <c r="A56" s="1021" t="s">
        <v>175</v>
      </c>
      <c r="B56" s="1002" t="s">
        <v>44</v>
      </c>
      <c r="C56" s="1003" t="s">
        <v>2673</v>
      </c>
      <c r="D56" s="602" t="s">
        <v>8</v>
      </c>
      <c r="E56" s="603">
        <f t="shared" si="0"/>
        <v>120415.59999999999</v>
      </c>
      <c r="F56" s="603">
        <f>F57+F58</f>
        <v>120415.59999999999</v>
      </c>
      <c r="G56" s="603">
        <f>G57+G58</f>
        <v>0</v>
      </c>
      <c r="H56" s="603">
        <f>H57+H58</f>
        <v>0</v>
      </c>
      <c r="I56" s="603">
        <f>I57+I58</f>
        <v>0</v>
      </c>
      <c r="J56" s="1028" t="s">
        <v>45</v>
      </c>
      <c r="K56" s="1005" t="s">
        <v>2674</v>
      </c>
    </row>
    <row r="57" spans="1:11" ht="13.5" customHeight="1" outlineLevel="1">
      <c r="A57" s="1021"/>
      <c r="B57" s="1002"/>
      <c r="C57" s="1003"/>
      <c r="D57" s="602">
        <v>2019</v>
      </c>
      <c r="E57" s="603">
        <f t="shared" si="0"/>
        <v>55778.2</v>
      </c>
      <c r="F57" s="603">
        <f t="shared" ref="F57:I58" si="9">F60+F63+F66+F69+F72+F75+F78</f>
        <v>55778.2</v>
      </c>
      <c r="G57" s="603">
        <f t="shared" si="9"/>
        <v>0</v>
      </c>
      <c r="H57" s="603">
        <f t="shared" si="9"/>
        <v>0</v>
      </c>
      <c r="I57" s="603">
        <f t="shared" si="9"/>
        <v>0</v>
      </c>
      <c r="J57" s="1028"/>
      <c r="K57" s="1005"/>
    </row>
    <row r="58" spans="1:11" ht="13.5" customHeight="1" outlineLevel="1">
      <c r="A58" s="1021"/>
      <c r="B58" s="1002"/>
      <c r="C58" s="1003"/>
      <c r="D58" s="602">
        <v>2020</v>
      </c>
      <c r="E58" s="603">
        <f t="shared" si="0"/>
        <v>64637.399999999994</v>
      </c>
      <c r="F58" s="603">
        <f>F61+F64+F67+F70+F73+F76+F79</f>
        <v>64637.399999999994</v>
      </c>
      <c r="G58" s="603">
        <f t="shared" si="9"/>
        <v>0</v>
      </c>
      <c r="H58" s="603">
        <f t="shared" si="9"/>
        <v>0</v>
      </c>
      <c r="I58" s="603">
        <f t="shared" si="9"/>
        <v>0</v>
      </c>
      <c r="J58" s="1028"/>
      <c r="K58" s="1005"/>
    </row>
    <row r="59" spans="1:11" s="608" customFormat="1" ht="13.5" customHeight="1" outlineLevel="1">
      <c r="A59" s="762" t="s">
        <v>43</v>
      </c>
      <c r="B59" s="989" t="s">
        <v>50</v>
      </c>
      <c r="C59" s="990" t="s">
        <v>2673</v>
      </c>
      <c r="D59" s="443" t="s">
        <v>8</v>
      </c>
      <c r="E59" s="13">
        <f t="shared" si="0"/>
        <v>1022.6</v>
      </c>
      <c r="F59" s="13">
        <f>F60+F61</f>
        <v>1022.6</v>
      </c>
      <c r="G59" s="13">
        <f>G60+G61</f>
        <v>0</v>
      </c>
      <c r="H59" s="13">
        <f>H60+H61</f>
        <v>0</v>
      </c>
      <c r="I59" s="13">
        <f>I60+I61</f>
        <v>0</v>
      </c>
      <c r="J59" s="1037" t="s">
        <v>51</v>
      </c>
      <c r="K59" s="824" t="s">
        <v>2691</v>
      </c>
    </row>
    <row r="60" spans="1:11" s="608" customFormat="1" ht="13.5" customHeight="1" outlineLevel="1">
      <c r="A60" s="762"/>
      <c r="B60" s="989"/>
      <c r="C60" s="990"/>
      <c r="D60" s="443">
        <v>2019</v>
      </c>
      <c r="E60" s="13">
        <f t="shared" si="0"/>
        <v>511.3</v>
      </c>
      <c r="F60" s="604">
        <v>511.3</v>
      </c>
      <c r="G60" s="604">
        <v>0</v>
      </c>
      <c r="H60" s="604">
        <v>0</v>
      </c>
      <c r="I60" s="604">
        <v>0</v>
      </c>
      <c r="J60" s="1037"/>
      <c r="K60" s="824"/>
    </row>
    <row r="61" spans="1:11" s="608" customFormat="1" ht="13.5" customHeight="1" outlineLevel="1">
      <c r="A61" s="762"/>
      <c r="B61" s="989"/>
      <c r="C61" s="990"/>
      <c r="D61" s="443">
        <v>2020</v>
      </c>
      <c r="E61" s="13">
        <f t="shared" si="0"/>
        <v>511.3</v>
      </c>
      <c r="F61" s="604">
        <v>511.3</v>
      </c>
      <c r="G61" s="604">
        <v>0</v>
      </c>
      <c r="H61" s="604">
        <v>0</v>
      </c>
      <c r="I61" s="604">
        <v>0</v>
      </c>
      <c r="J61" s="1037"/>
      <c r="K61" s="824"/>
    </row>
    <row r="62" spans="1:11" s="608" customFormat="1" ht="15" customHeight="1" outlineLevel="1">
      <c r="A62" s="762" t="s">
        <v>197</v>
      </c>
      <c r="B62" s="1007" t="s">
        <v>677</v>
      </c>
      <c r="C62" s="990" t="s">
        <v>2673</v>
      </c>
      <c r="D62" s="443" t="s">
        <v>8</v>
      </c>
      <c r="E62" s="13">
        <f t="shared" si="0"/>
        <v>20</v>
      </c>
      <c r="F62" s="13">
        <f>F63+F64</f>
        <v>20</v>
      </c>
      <c r="G62" s="13">
        <f>G63+G64</f>
        <v>0</v>
      </c>
      <c r="H62" s="13">
        <f>H63+H64</f>
        <v>0</v>
      </c>
      <c r="I62" s="13">
        <f>I63+I64</f>
        <v>0</v>
      </c>
      <c r="J62" s="1016" t="s">
        <v>2692</v>
      </c>
      <c r="K62" s="824" t="s">
        <v>2671</v>
      </c>
    </row>
    <row r="63" spans="1:11" s="608" customFormat="1" outlineLevel="1">
      <c r="A63" s="762"/>
      <c r="B63" s="1007"/>
      <c r="C63" s="990"/>
      <c r="D63" s="443">
        <v>2019</v>
      </c>
      <c r="E63" s="13">
        <f t="shared" si="0"/>
        <v>10</v>
      </c>
      <c r="F63" s="13">
        <v>10</v>
      </c>
      <c r="G63" s="604">
        <v>0</v>
      </c>
      <c r="H63" s="604">
        <v>0</v>
      </c>
      <c r="I63" s="604">
        <v>0</v>
      </c>
      <c r="J63" s="1016"/>
      <c r="K63" s="824"/>
    </row>
    <row r="64" spans="1:11" s="608" customFormat="1" outlineLevel="1">
      <c r="A64" s="762"/>
      <c r="B64" s="1007"/>
      <c r="C64" s="990"/>
      <c r="D64" s="443">
        <v>2020</v>
      </c>
      <c r="E64" s="13">
        <f t="shared" si="0"/>
        <v>10</v>
      </c>
      <c r="F64" s="13">
        <v>10</v>
      </c>
      <c r="G64" s="604">
        <v>0</v>
      </c>
      <c r="H64" s="604">
        <v>0</v>
      </c>
      <c r="I64" s="604">
        <v>0</v>
      </c>
      <c r="J64" s="1016"/>
      <c r="K64" s="824"/>
    </row>
    <row r="65" spans="1:11" s="608" customFormat="1" ht="13.5" customHeight="1" outlineLevel="1">
      <c r="A65" s="765" t="s">
        <v>198</v>
      </c>
      <c r="B65" s="989" t="s">
        <v>678</v>
      </c>
      <c r="C65" s="990" t="s">
        <v>2673</v>
      </c>
      <c r="D65" s="443" t="s">
        <v>8</v>
      </c>
      <c r="E65" s="13">
        <f t="shared" si="0"/>
        <v>60000</v>
      </c>
      <c r="F65" s="13">
        <f>F66+F67</f>
        <v>60000</v>
      </c>
      <c r="G65" s="13">
        <f>G66+G67</f>
        <v>0</v>
      </c>
      <c r="H65" s="13">
        <f>H66+H67</f>
        <v>0</v>
      </c>
      <c r="I65" s="13">
        <f>I66+I67</f>
        <v>0</v>
      </c>
      <c r="J65" s="1037" t="s">
        <v>281</v>
      </c>
      <c r="K65" s="824" t="s">
        <v>2671</v>
      </c>
    </row>
    <row r="66" spans="1:11" s="608" customFormat="1" ht="13.5" customHeight="1" outlineLevel="1">
      <c r="A66" s="765"/>
      <c r="B66" s="989"/>
      <c r="C66" s="990"/>
      <c r="D66" s="443">
        <v>2019</v>
      </c>
      <c r="E66" s="13">
        <f t="shared" si="0"/>
        <v>30000</v>
      </c>
      <c r="F66" s="13">
        <v>30000</v>
      </c>
      <c r="G66" s="604">
        <v>0</v>
      </c>
      <c r="H66" s="604">
        <v>0</v>
      </c>
      <c r="I66" s="604">
        <v>0</v>
      </c>
      <c r="J66" s="1037"/>
      <c r="K66" s="824"/>
    </row>
    <row r="67" spans="1:11" s="608" customFormat="1" ht="13.5" customHeight="1" outlineLevel="1">
      <c r="A67" s="765"/>
      <c r="B67" s="989"/>
      <c r="C67" s="990"/>
      <c r="D67" s="443">
        <v>2020</v>
      </c>
      <c r="E67" s="13">
        <f t="shared" si="0"/>
        <v>30000</v>
      </c>
      <c r="F67" s="13">
        <v>30000</v>
      </c>
      <c r="G67" s="604">
        <v>0</v>
      </c>
      <c r="H67" s="604">
        <v>0</v>
      </c>
      <c r="I67" s="604">
        <v>0</v>
      </c>
      <c r="J67" s="1037"/>
      <c r="K67" s="824"/>
    </row>
    <row r="68" spans="1:11" s="608" customFormat="1" ht="15" customHeight="1" outlineLevel="1">
      <c r="A68" s="762" t="s">
        <v>199</v>
      </c>
      <c r="B68" s="989" t="s">
        <v>56</v>
      </c>
      <c r="C68" s="990" t="s">
        <v>2673</v>
      </c>
      <c r="D68" s="443" t="s">
        <v>8</v>
      </c>
      <c r="E68" s="13">
        <f t="shared" si="0"/>
        <v>1312</v>
      </c>
      <c r="F68" s="13">
        <f>F69+F70</f>
        <v>1312</v>
      </c>
      <c r="G68" s="13">
        <f>G69+G70</f>
        <v>0</v>
      </c>
      <c r="H68" s="13">
        <f>H69+H70</f>
        <v>0</v>
      </c>
      <c r="I68" s="13">
        <f>I69+I70</f>
        <v>0</v>
      </c>
      <c r="J68" s="824" t="s">
        <v>57</v>
      </c>
      <c r="K68" s="824" t="s">
        <v>2671</v>
      </c>
    </row>
    <row r="69" spans="1:11" s="608" customFormat="1" outlineLevel="1">
      <c r="A69" s="762"/>
      <c r="B69" s="989"/>
      <c r="C69" s="990"/>
      <c r="D69" s="443">
        <v>2019</v>
      </c>
      <c r="E69" s="13">
        <f t="shared" ref="E69:E120" si="10">SUM(F69:I69)</f>
        <v>228</v>
      </c>
      <c r="F69" s="13">
        <v>228</v>
      </c>
      <c r="G69" s="604">
        <v>0</v>
      </c>
      <c r="H69" s="604">
        <v>0</v>
      </c>
      <c r="I69" s="604">
        <v>0</v>
      </c>
      <c r="J69" s="824"/>
      <c r="K69" s="824"/>
    </row>
    <row r="70" spans="1:11" s="608" customFormat="1" outlineLevel="1">
      <c r="A70" s="762"/>
      <c r="B70" s="989"/>
      <c r="C70" s="990"/>
      <c r="D70" s="443">
        <v>2020</v>
      </c>
      <c r="E70" s="13">
        <f t="shared" si="10"/>
        <v>1084</v>
      </c>
      <c r="F70" s="13">
        <v>1084</v>
      </c>
      <c r="G70" s="604">
        <v>0</v>
      </c>
      <c r="H70" s="604">
        <v>0</v>
      </c>
      <c r="I70" s="604">
        <v>0</v>
      </c>
      <c r="J70" s="824"/>
      <c r="K70" s="824"/>
    </row>
    <row r="71" spans="1:11" s="608" customFormat="1" ht="15" customHeight="1" outlineLevel="1">
      <c r="A71" s="762" t="s">
        <v>200</v>
      </c>
      <c r="B71" s="989" t="s">
        <v>153</v>
      </c>
      <c r="C71" s="990" t="s">
        <v>2673</v>
      </c>
      <c r="D71" s="443" t="s">
        <v>8</v>
      </c>
      <c r="E71" s="13">
        <f t="shared" si="10"/>
        <v>61</v>
      </c>
      <c r="F71" s="13">
        <f>F72+F73</f>
        <v>61</v>
      </c>
      <c r="G71" s="13">
        <f>G72+G73</f>
        <v>0</v>
      </c>
      <c r="H71" s="13">
        <f>H72+H73</f>
        <v>0</v>
      </c>
      <c r="I71" s="13">
        <f>I72+I73</f>
        <v>0</v>
      </c>
      <c r="J71" s="824" t="s">
        <v>282</v>
      </c>
      <c r="K71" s="1016" t="s">
        <v>2674</v>
      </c>
    </row>
    <row r="72" spans="1:11" s="608" customFormat="1" outlineLevel="1">
      <c r="A72" s="762"/>
      <c r="B72" s="989"/>
      <c r="C72" s="990"/>
      <c r="D72" s="443">
        <v>2019</v>
      </c>
      <c r="E72" s="13">
        <f t="shared" si="10"/>
        <v>28.9</v>
      </c>
      <c r="F72" s="13">
        <v>28.9</v>
      </c>
      <c r="G72" s="604">
        <v>0</v>
      </c>
      <c r="H72" s="604">
        <v>0</v>
      </c>
      <c r="I72" s="604">
        <v>0</v>
      </c>
      <c r="J72" s="824"/>
      <c r="K72" s="1016"/>
    </row>
    <row r="73" spans="1:11" s="608" customFormat="1" outlineLevel="1">
      <c r="A73" s="762"/>
      <c r="B73" s="989"/>
      <c r="C73" s="990"/>
      <c r="D73" s="443">
        <v>2020</v>
      </c>
      <c r="E73" s="13">
        <f t="shared" si="10"/>
        <v>32.1</v>
      </c>
      <c r="F73" s="13">
        <v>32.1</v>
      </c>
      <c r="G73" s="604">
        <v>0</v>
      </c>
      <c r="H73" s="604">
        <v>0</v>
      </c>
      <c r="I73" s="604">
        <v>0</v>
      </c>
      <c r="J73" s="824"/>
      <c r="K73" s="1016"/>
    </row>
    <row r="74" spans="1:11" s="608" customFormat="1" ht="15" customHeight="1" outlineLevel="1">
      <c r="A74" s="762" t="s">
        <v>202</v>
      </c>
      <c r="B74" s="1007" t="s">
        <v>679</v>
      </c>
      <c r="C74" s="990" t="s">
        <v>2673</v>
      </c>
      <c r="D74" s="443" t="s">
        <v>8</v>
      </c>
      <c r="E74" s="13">
        <f t="shared" si="10"/>
        <v>50000</v>
      </c>
      <c r="F74" s="13">
        <f>F75+F76</f>
        <v>50000</v>
      </c>
      <c r="G74" s="13">
        <f>G75+G76</f>
        <v>0</v>
      </c>
      <c r="H74" s="13">
        <f>H75+H76</f>
        <v>0</v>
      </c>
      <c r="I74" s="13">
        <f>I75+I76</f>
        <v>0</v>
      </c>
      <c r="J74" s="1025" t="s">
        <v>2693</v>
      </c>
      <c r="K74" s="824" t="s">
        <v>66</v>
      </c>
    </row>
    <row r="75" spans="1:11" s="608" customFormat="1" outlineLevel="1">
      <c r="A75" s="762"/>
      <c r="B75" s="1007"/>
      <c r="C75" s="990"/>
      <c r="D75" s="443">
        <v>2019</v>
      </c>
      <c r="E75" s="13">
        <f t="shared" si="10"/>
        <v>25000</v>
      </c>
      <c r="F75" s="13">
        <v>25000</v>
      </c>
      <c r="G75" s="604">
        <v>0</v>
      </c>
      <c r="H75" s="604">
        <v>0</v>
      </c>
      <c r="I75" s="604">
        <v>0</v>
      </c>
      <c r="J75" s="1025"/>
      <c r="K75" s="824"/>
    </row>
    <row r="76" spans="1:11" s="608" customFormat="1" outlineLevel="1">
      <c r="A76" s="762"/>
      <c r="B76" s="1007"/>
      <c r="C76" s="990"/>
      <c r="D76" s="443">
        <v>2020</v>
      </c>
      <c r="E76" s="13">
        <f t="shared" si="10"/>
        <v>25000</v>
      </c>
      <c r="F76" s="13">
        <v>25000</v>
      </c>
      <c r="G76" s="604">
        <v>0</v>
      </c>
      <c r="H76" s="604">
        <v>0</v>
      </c>
      <c r="I76" s="604">
        <v>0</v>
      </c>
      <c r="J76" s="1025"/>
      <c r="K76" s="824"/>
    </row>
    <row r="77" spans="1:11" s="608" customFormat="1" outlineLevel="1">
      <c r="A77" s="762" t="s">
        <v>204</v>
      </c>
      <c r="B77" s="1031" t="s">
        <v>680</v>
      </c>
      <c r="C77" s="990" t="s">
        <v>2673</v>
      </c>
      <c r="D77" s="443" t="s">
        <v>8</v>
      </c>
      <c r="E77" s="13">
        <f>SUM(F77:I77)</f>
        <v>8000</v>
      </c>
      <c r="F77" s="13">
        <f>F78+F79</f>
        <v>8000</v>
      </c>
      <c r="G77" s="13">
        <f>G78+G79</f>
        <v>0</v>
      </c>
      <c r="H77" s="13">
        <f>H78+H79</f>
        <v>0</v>
      </c>
      <c r="I77" s="13">
        <f>I78+I79</f>
        <v>0</v>
      </c>
      <c r="J77" s="1036" t="s">
        <v>281</v>
      </c>
      <c r="K77" s="824" t="s">
        <v>2671</v>
      </c>
    </row>
    <row r="78" spans="1:11" s="608" customFormat="1" outlineLevel="1">
      <c r="A78" s="762"/>
      <c r="B78" s="1031"/>
      <c r="C78" s="990"/>
      <c r="D78" s="443">
        <v>2019</v>
      </c>
      <c r="E78" s="13">
        <f>SUM(F78:I78)</f>
        <v>0</v>
      </c>
      <c r="F78" s="13">
        <v>0</v>
      </c>
      <c r="G78" s="604">
        <v>0</v>
      </c>
      <c r="H78" s="604">
        <v>0</v>
      </c>
      <c r="I78" s="604">
        <v>0</v>
      </c>
      <c r="J78" s="1036"/>
      <c r="K78" s="824"/>
    </row>
    <row r="79" spans="1:11" s="608" customFormat="1" outlineLevel="1">
      <c r="A79" s="762"/>
      <c r="B79" s="1031"/>
      <c r="C79" s="990"/>
      <c r="D79" s="443">
        <v>2020</v>
      </c>
      <c r="E79" s="13">
        <f>SUM(F79:I79)</f>
        <v>8000</v>
      </c>
      <c r="F79" s="609">
        <v>8000</v>
      </c>
      <c r="G79" s="604">
        <v>0</v>
      </c>
      <c r="H79" s="604">
        <v>0</v>
      </c>
      <c r="I79" s="604">
        <v>0</v>
      </c>
      <c r="J79" s="1036"/>
      <c r="K79" s="824"/>
    </row>
    <row r="80" spans="1:11" s="2" customFormat="1" ht="30" customHeight="1" outlineLevel="1">
      <c r="A80" s="1001" t="s">
        <v>176</v>
      </c>
      <c r="B80" s="1029" t="s">
        <v>2694</v>
      </c>
      <c r="C80" s="1030" t="s">
        <v>2673</v>
      </c>
      <c r="D80" s="606" t="s">
        <v>8</v>
      </c>
      <c r="E80" s="607">
        <f t="shared" si="10"/>
        <v>354249.7</v>
      </c>
      <c r="F80" s="607">
        <f>F81+F82</f>
        <v>354249.7</v>
      </c>
      <c r="G80" s="607">
        <f>G81+G82</f>
        <v>0</v>
      </c>
      <c r="H80" s="607">
        <f>H81+H82</f>
        <v>0</v>
      </c>
      <c r="I80" s="607">
        <f>I81+I82</f>
        <v>0</v>
      </c>
      <c r="J80" s="1028" t="s">
        <v>60</v>
      </c>
      <c r="K80" s="1004" t="s">
        <v>2682</v>
      </c>
    </row>
    <row r="81" spans="1:11" s="2" customFormat="1" ht="30" customHeight="1" outlineLevel="1">
      <c r="A81" s="1001"/>
      <c r="B81" s="1029"/>
      <c r="C81" s="1030"/>
      <c r="D81" s="606">
        <v>2019</v>
      </c>
      <c r="E81" s="607">
        <f t="shared" si="10"/>
        <v>208398</v>
      </c>
      <c r="F81" s="607">
        <f t="shared" ref="F81:I82" si="11">F84+F87+F90+F93</f>
        <v>208398</v>
      </c>
      <c r="G81" s="607">
        <f t="shared" si="11"/>
        <v>0</v>
      </c>
      <c r="H81" s="607">
        <f t="shared" si="11"/>
        <v>0</v>
      </c>
      <c r="I81" s="607">
        <f t="shared" si="11"/>
        <v>0</v>
      </c>
      <c r="J81" s="1028"/>
      <c r="K81" s="1004"/>
    </row>
    <row r="82" spans="1:11" s="2" customFormat="1" ht="30" customHeight="1" outlineLevel="1">
      <c r="A82" s="1001"/>
      <c r="B82" s="1029"/>
      <c r="C82" s="1030"/>
      <c r="D82" s="606">
        <v>2020</v>
      </c>
      <c r="E82" s="607">
        <f t="shared" si="10"/>
        <v>145851.70000000001</v>
      </c>
      <c r="F82" s="607">
        <f>F85+F88+F91+F94</f>
        <v>145851.70000000001</v>
      </c>
      <c r="G82" s="607">
        <f t="shared" si="11"/>
        <v>0</v>
      </c>
      <c r="H82" s="607">
        <f t="shared" si="11"/>
        <v>0</v>
      </c>
      <c r="I82" s="607">
        <f t="shared" si="11"/>
        <v>0</v>
      </c>
      <c r="J82" s="1028"/>
      <c r="K82" s="1004"/>
    </row>
    <row r="83" spans="1:11" s="608" customFormat="1" ht="17.100000000000001" customHeight="1" outlineLevel="1">
      <c r="A83" s="762" t="s">
        <v>58</v>
      </c>
      <c r="B83" s="989" t="s">
        <v>22</v>
      </c>
      <c r="C83" s="990" t="s">
        <v>2673</v>
      </c>
      <c r="D83" s="443" t="s">
        <v>8</v>
      </c>
      <c r="E83" s="13">
        <f t="shared" si="10"/>
        <v>346756</v>
      </c>
      <c r="F83" s="13">
        <f>F84+F85</f>
        <v>346756</v>
      </c>
      <c r="G83" s="13">
        <f>G84+G85</f>
        <v>0</v>
      </c>
      <c r="H83" s="13">
        <f>H84+H85</f>
        <v>0</v>
      </c>
      <c r="I83" s="13">
        <f>I84+I85</f>
        <v>0</v>
      </c>
      <c r="J83" s="824" t="s">
        <v>2695</v>
      </c>
      <c r="K83" s="824" t="s">
        <v>2696</v>
      </c>
    </row>
    <row r="84" spans="1:11" s="608" customFormat="1" ht="17.100000000000001" customHeight="1" outlineLevel="1">
      <c r="A84" s="762"/>
      <c r="B84" s="989"/>
      <c r="C84" s="990"/>
      <c r="D84" s="443">
        <v>2019</v>
      </c>
      <c r="E84" s="13">
        <f t="shared" si="10"/>
        <v>204465.6</v>
      </c>
      <c r="F84" s="604">
        <v>204465.6</v>
      </c>
      <c r="G84" s="604">
        <v>0</v>
      </c>
      <c r="H84" s="604">
        <v>0</v>
      </c>
      <c r="I84" s="604">
        <v>0</v>
      </c>
      <c r="J84" s="824"/>
      <c r="K84" s="824"/>
    </row>
    <row r="85" spans="1:11" s="608" customFormat="1" ht="17.100000000000001" customHeight="1" outlineLevel="1">
      <c r="A85" s="762"/>
      <c r="B85" s="989"/>
      <c r="C85" s="990"/>
      <c r="D85" s="443">
        <v>2020</v>
      </c>
      <c r="E85" s="13">
        <f t="shared" si="10"/>
        <v>142290.4</v>
      </c>
      <c r="F85" s="605">
        <f>171937.4-29647</f>
        <v>142290.4</v>
      </c>
      <c r="G85" s="604">
        <v>0</v>
      </c>
      <c r="H85" s="604">
        <v>0</v>
      </c>
      <c r="I85" s="604">
        <v>0</v>
      </c>
      <c r="J85" s="824"/>
      <c r="K85" s="824"/>
    </row>
    <row r="86" spans="1:11" s="608" customFormat="1" ht="13.5" customHeight="1" outlineLevel="1">
      <c r="A86" s="762" t="s">
        <v>67</v>
      </c>
      <c r="B86" s="989" t="s">
        <v>62</v>
      </c>
      <c r="C86" s="990" t="s">
        <v>2673</v>
      </c>
      <c r="D86" s="443" t="s">
        <v>8</v>
      </c>
      <c r="E86" s="13">
        <f t="shared" si="10"/>
        <v>7044.5</v>
      </c>
      <c r="F86" s="13">
        <f>F87+F88</f>
        <v>7044.5</v>
      </c>
      <c r="G86" s="13">
        <f>G87+G88</f>
        <v>0</v>
      </c>
      <c r="H86" s="13">
        <f>H87+H88</f>
        <v>0</v>
      </c>
      <c r="I86" s="13">
        <f>I87+I88</f>
        <v>0</v>
      </c>
      <c r="J86" s="824" t="s">
        <v>63</v>
      </c>
      <c r="K86" s="1016" t="s">
        <v>2674</v>
      </c>
    </row>
    <row r="87" spans="1:11" s="608" customFormat="1" ht="13.5" customHeight="1" outlineLevel="1">
      <c r="A87" s="762"/>
      <c r="B87" s="989"/>
      <c r="C87" s="990"/>
      <c r="D87" s="443">
        <v>2019</v>
      </c>
      <c r="E87" s="13">
        <f t="shared" si="10"/>
        <v>3561.3</v>
      </c>
      <c r="F87" s="604">
        <v>3561.3</v>
      </c>
      <c r="G87" s="604">
        <v>0</v>
      </c>
      <c r="H87" s="604">
        <v>0</v>
      </c>
      <c r="I87" s="604">
        <v>0</v>
      </c>
      <c r="J87" s="824"/>
      <c r="K87" s="1016"/>
    </row>
    <row r="88" spans="1:11" s="608" customFormat="1" outlineLevel="1">
      <c r="A88" s="762"/>
      <c r="B88" s="989"/>
      <c r="C88" s="990"/>
      <c r="D88" s="443">
        <v>2020</v>
      </c>
      <c r="E88" s="13">
        <f t="shared" si="10"/>
        <v>3483.2</v>
      </c>
      <c r="F88" s="604">
        <v>3483.2</v>
      </c>
      <c r="G88" s="604">
        <v>0</v>
      </c>
      <c r="H88" s="604">
        <v>0</v>
      </c>
      <c r="I88" s="604">
        <v>0</v>
      </c>
      <c r="J88" s="824"/>
      <c r="K88" s="1016"/>
    </row>
    <row r="89" spans="1:11" s="2" customFormat="1" ht="24.95" customHeight="1" outlineLevel="1">
      <c r="A89" s="762" t="s">
        <v>209</v>
      </c>
      <c r="B89" s="1031" t="s">
        <v>2697</v>
      </c>
      <c r="C89" s="1032">
        <v>2019</v>
      </c>
      <c r="D89" s="443" t="s">
        <v>8</v>
      </c>
      <c r="E89" s="13">
        <f t="shared" si="10"/>
        <v>236.1</v>
      </c>
      <c r="F89" s="13">
        <f>F90+F91</f>
        <v>236.1</v>
      </c>
      <c r="G89" s="13">
        <f>G90+G91</f>
        <v>0</v>
      </c>
      <c r="H89" s="13">
        <f>H90+H91</f>
        <v>0</v>
      </c>
      <c r="I89" s="13">
        <f>I90+I91</f>
        <v>0</v>
      </c>
      <c r="J89" s="1035" t="s">
        <v>2698</v>
      </c>
      <c r="K89" s="1016" t="s">
        <v>2674</v>
      </c>
    </row>
    <row r="90" spans="1:11" s="2" customFormat="1" ht="24.95" customHeight="1" outlineLevel="1">
      <c r="A90" s="762"/>
      <c r="B90" s="1031"/>
      <c r="C90" s="1033"/>
      <c r="D90" s="443">
        <v>2019</v>
      </c>
      <c r="E90" s="13">
        <f t="shared" si="10"/>
        <v>236.1</v>
      </c>
      <c r="F90" s="604">
        <v>236.1</v>
      </c>
      <c r="G90" s="604">
        <v>0</v>
      </c>
      <c r="H90" s="604">
        <v>0</v>
      </c>
      <c r="I90" s="604">
        <v>0</v>
      </c>
      <c r="J90" s="1035"/>
      <c r="K90" s="1016"/>
    </row>
    <row r="91" spans="1:11" s="2" customFormat="1" ht="24.95" customHeight="1" outlineLevel="1">
      <c r="A91" s="762"/>
      <c r="B91" s="1031"/>
      <c r="C91" s="1034"/>
      <c r="D91" s="443">
        <v>2020</v>
      </c>
      <c r="E91" s="13">
        <f t="shared" si="10"/>
        <v>0</v>
      </c>
      <c r="F91" s="604">
        <v>0</v>
      </c>
      <c r="G91" s="604">
        <v>0</v>
      </c>
      <c r="H91" s="604">
        <v>0</v>
      </c>
      <c r="I91" s="604">
        <v>0</v>
      </c>
      <c r="J91" s="1035"/>
      <c r="K91" s="1016"/>
    </row>
    <row r="92" spans="1:11" s="2" customFormat="1" ht="15" customHeight="1" outlineLevel="1">
      <c r="A92" s="762" t="s">
        <v>210</v>
      </c>
      <c r="B92" s="989" t="s">
        <v>157</v>
      </c>
      <c r="C92" s="990">
        <v>2019</v>
      </c>
      <c r="D92" s="443" t="s">
        <v>8</v>
      </c>
      <c r="E92" s="13">
        <f t="shared" si="10"/>
        <v>213.1</v>
      </c>
      <c r="F92" s="13">
        <f>F93+F94</f>
        <v>213.1</v>
      </c>
      <c r="G92" s="13">
        <f>G93+G94</f>
        <v>0</v>
      </c>
      <c r="H92" s="13">
        <f>H93+H94</f>
        <v>0</v>
      </c>
      <c r="I92" s="13">
        <f>I93+I94</f>
        <v>0</v>
      </c>
      <c r="J92" s="824" t="s">
        <v>2699</v>
      </c>
      <c r="K92" s="1016" t="s">
        <v>2674</v>
      </c>
    </row>
    <row r="93" spans="1:11" s="2" customFormat="1" outlineLevel="1">
      <c r="A93" s="762"/>
      <c r="B93" s="989"/>
      <c r="C93" s="990"/>
      <c r="D93" s="443">
        <v>2019</v>
      </c>
      <c r="E93" s="13">
        <f t="shared" si="10"/>
        <v>135</v>
      </c>
      <c r="F93" s="13">
        <v>135</v>
      </c>
      <c r="G93" s="604">
        <v>0</v>
      </c>
      <c r="H93" s="604">
        <v>0</v>
      </c>
      <c r="I93" s="604">
        <v>0</v>
      </c>
      <c r="J93" s="824"/>
      <c r="K93" s="1016"/>
    </row>
    <row r="94" spans="1:11" s="2" customFormat="1" outlineLevel="1">
      <c r="A94" s="762"/>
      <c r="B94" s="989"/>
      <c r="C94" s="990"/>
      <c r="D94" s="443">
        <v>2020</v>
      </c>
      <c r="E94" s="13">
        <f t="shared" si="10"/>
        <v>78.099999999999994</v>
      </c>
      <c r="F94" s="13">
        <v>78.099999999999994</v>
      </c>
      <c r="G94" s="604">
        <v>0</v>
      </c>
      <c r="H94" s="604">
        <v>0</v>
      </c>
      <c r="I94" s="604">
        <v>0</v>
      </c>
      <c r="J94" s="824"/>
      <c r="K94" s="1016"/>
    </row>
    <row r="95" spans="1:11" s="2" customFormat="1" ht="15.75" customHeight="1" outlineLevel="1">
      <c r="A95" s="1001" t="s">
        <v>177</v>
      </c>
      <c r="B95" s="1029" t="s">
        <v>68</v>
      </c>
      <c r="C95" s="1030" t="s">
        <v>2673</v>
      </c>
      <c r="D95" s="606" t="s">
        <v>8</v>
      </c>
      <c r="E95" s="607">
        <f t="shared" si="10"/>
        <v>1046.8</v>
      </c>
      <c r="F95" s="607">
        <f>F96+F97</f>
        <v>1046.8</v>
      </c>
      <c r="G95" s="607">
        <f>G96+G97</f>
        <v>0</v>
      </c>
      <c r="H95" s="607">
        <f>H96+H97</f>
        <v>0</v>
      </c>
      <c r="I95" s="607">
        <f>I96+I97</f>
        <v>0</v>
      </c>
      <c r="J95" s="1028" t="s">
        <v>69</v>
      </c>
      <c r="K95" s="1004" t="s">
        <v>2682</v>
      </c>
    </row>
    <row r="96" spans="1:11" s="2" customFormat="1" outlineLevel="1">
      <c r="A96" s="1001"/>
      <c r="B96" s="1029"/>
      <c r="C96" s="1030"/>
      <c r="D96" s="606">
        <v>2019</v>
      </c>
      <c r="E96" s="607">
        <f t="shared" si="10"/>
        <v>523.4</v>
      </c>
      <c r="F96" s="607">
        <f>F99</f>
        <v>523.4</v>
      </c>
      <c r="G96" s="607">
        <f t="shared" ref="F96:I97" si="12">G99</f>
        <v>0</v>
      </c>
      <c r="H96" s="607">
        <f t="shared" si="12"/>
        <v>0</v>
      </c>
      <c r="I96" s="607">
        <f t="shared" si="12"/>
        <v>0</v>
      </c>
      <c r="J96" s="1028"/>
      <c r="K96" s="1004"/>
    </row>
    <row r="97" spans="1:11" s="2" customFormat="1" outlineLevel="1">
      <c r="A97" s="1001"/>
      <c r="B97" s="1029"/>
      <c r="C97" s="1030"/>
      <c r="D97" s="606">
        <v>2020</v>
      </c>
      <c r="E97" s="607">
        <f t="shared" si="10"/>
        <v>523.4</v>
      </c>
      <c r="F97" s="607">
        <f t="shared" si="12"/>
        <v>523.4</v>
      </c>
      <c r="G97" s="607">
        <f t="shared" si="12"/>
        <v>0</v>
      </c>
      <c r="H97" s="607">
        <f t="shared" si="12"/>
        <v>0</v>
      </c>
      <c r="I97" s="607">
        <f t="shared" si="12"/>
        <v>0</v>
      </c>
      <c r="J97" s="1028"/>
      <c r="K97" s="1004"/>
    </row>
    <row r="98" spans="1:11" s="2" customFormat="1" ht="15.75" customHeight="1" outlineLevel="1">
      <c r="A98" s="762" t="s">
        <v>211</v>
      </c>
      <c r="B98" s="989" t="s">
        <v>70</v>
      </c>
      <c r="C98" s="990" t="s">
        <v>2673</v>
      </c>
      <c r="D98" s="443" t="s">
        <v>8</v>
      </c>
      <c r="E98" s="13">
        <f t="shared" si="10"/>
        <v>1046.8</v>
      </c>
      <c r="F98" s="13">
        <f>F99+F100</f>
        <v>1046.8</v>
      </c>
      <c r="G98" s="13">
        <f>G99+G100</f>
        <v>0</v>
      </c>
      <c r="H98" s="13">
        <f>H99+H100</f>
        <v>0</v>
      </c>
      <c r="I98" s="13">
        <f>I99+I100</f>
        <v>0</v>
      </c>
      <c r="J98" s="824" t="s">
        <v>2700</v>
      </c>
      <c r="K98" s="1016" t="s">
        <v>2677</v>
      </c>
    </row>
    <row r="99" spans="1:11" s="2" customFormat="1" outlineLevel="1">
      <c r="A99" s="762"/>
      <c r="B99" s="989"/>
      <c r="C99" s="990"/>
      <c r="D99" s="443">
        <v>2019</v>
      </c>
      <c r="E99" s="13">
        <f t="shared" si="10"/>
        <v>523.4</v>
      </c>
      <c r="F99" s="13">
        <v>523.4</v>
      </c>
      <c r="G99" s="604">
        <v>0</v>
      </c>
      <c r="H99" s="604">
        <v>0</v>
      </c>
      <c r="I99" s="604">
        <v>0</v>
      </c>
      <c r="J99" s="824"/>
      <c r="K99" s="1016"/>
    </row>
    <row r="100" spans="1:11" s="2" customFormat="1" outlineLevel="1">
      <c r="A100" s="762"/>
      <c r="B100" s="989"/>
      <c r="C100" s="990"/>
      <c r="D100" s="443">
        <v>2020</v>
      </c>
      <c r="E100" s="13">
        <f t="shared" si="10"/>
        <v>523.4</v>
      </c>
      <c r="F100" s="13">
        <v>523.4</v>
      </c>
      <c r="G100" s="604">
        <v>0</v>
      </c>
      <c r="H100" s="604">
        <v>0</v>
      </c>
      <c r="I100" s="604">
        <v>0</v>
      </c>
      <c r="J100" s="824"/>
      <c r="K100" s="1016"/>
    </row>
    <row r="101" spans="1:11" s="2" customFormat="1" ht="15.75" customHeight="1" outlineLevel="1">
      <c r="A101" s="1021" t="s">
        <v>581</v>
      </c>
      <c r="B101" s="1002" t="s">
        <v>633</v>
      </c>
      <c r="C101" s="1003" t="s">
        <v>2673</v>
      </c>
      <c r="D101" s="602" t="s">
        <v>8</v>
      </c>
      <c r="E101" s="603">
        <f t="shared" si="10"/>
        <v>959612.6</v>
      </c>
      <c r="F101" s="603">
        <f>F102+F103</f>
        <v>916970.2</v>
      </c>
      <c r="G101" s="603">
        <f>G102+G103</f>
        <v>39885.300000000003</v>
      </c>
      <c r="H101" s="603">
        <f>H102+H103</f>
        <v>2757.1</v>
      </c>
      <c r="I101" s="603">
        <f>I102+I103</f>
        <v>0</v>
      </c>
      <c r="J101" s="1028" t="s">
        <v>2701</v>
      </c>
      <c r="K101" s="1005" t="s">
        <v>2682</v>
      </c>
    </row>
    <row r="102" spans="1:11" s="2" customFormat="1" outlineLevel="1">
      <c r="A102" s="1021"/>
      <c r="B102" s="1002"/>
      <c r="C102" s="1003"/>
      <c r="D102" s="602">
        <v>2019</v>
      </c>
      <c r="E102" s="603">
        <f t="shared" si="10"/>
        <v>391788.2</v>
      </c>
      <c r="F102" s="610">
        <f>F105+F108+F111+F114</f>
        <v>382878.60000000003</v>
      </c>
      <c r="G102" s="610">
        <f t="shared" ref="G102:I103" si="13">G105+G108+G111+G114</f>
        <v>8909.6</v>
      </c>
      <c r="H102" s="610">
        <f t="shared" si="13"/>
        <v>0</v>
      </c>
      <c r="I102" s="610">
        <f t="shared" si="13"/>
        <v>0</v>
      </c>
      <c r="J102" s="1028"/>
      <c r="K102" s="1005"/>
    </row>
    <row r="103" spans="1:11" s="2" customFormat="1" outlineLevel="1">
      <c r="A103" s="1021"/>
      <c r="B103" s="1002"/>
      <c r="C103" s="1003"/>
      <c r="D103" s="602">
        <v>2020</v>
      </c>
      <c r="E103" s="603">
        <f>SUM(F103:I103)</f>
        <v>567824.39999999991</v>
      </c>
      <c r="F103" s="610">
        <f>F106+F109+F112+F115</f>
        <v>534091.6</v>
      </c>
      <c r="G103" s="610">
        <f t="shared" si="13"/>
        <v>30975.7</v>
      </c>
      <c r="H103" s="610">
        <f t="shared" si="13"/>
        <v>2757.1</v>
      </c>
      <c r="I103" s="610">
        <f t="shared" si="13"/>
        <v>0</v>
      </c>
      <c r="J103" s="1028"/>
      <c r="K103" s="1005"/>
    </row>
    <row r="104" spans="1:11" s="608" customFormat="1" ht="15.75" customHeight="1" outlineLevel="1">
      <c r="A104" s="762" t="s">
        <v>635</v>
      </c>
      <c r="B104" s="1007" t="s">
        <v>681</v>
      </c>
      <c r="C104" s="990">
        <v>2020</v>
      </c>
      <c r="D104" s="443" t="s">
        <v>8</v>
      </c>
      <c r="E104" s="13">
        <f t="shared" si="10"/>
        <v>26595.7</v>
      </c>
      <c r="F104" s="13">
        <f>F105+F106</f>
        <v>1595.7</v>
      </c>
      <c r="G104" s="13">
        <f>G105+G106</f>
        <v>25000</v>
      </c>
      <c r="H104" s="13">
        <f>H105+H106</f>
        <v>0</v>
      </c>
      <c r="I104" s="13">
        <f>I105+I106</f>
        <v>0</v>
      </c>
      <c r="J104" s="1025" t="s">
        <v>2702</v>
      </c>
      <c r="K104" s="824" t="s">
        <v>2671</v>
      </c>
    </row>
    <row r="105" spans="1:11" s="608" customFormat="1" outlineLevel="1">
      <c r="A105" s="762"/>
      <c r="B105" s="1007"/>
      <c r="C105" s="990"/>
      <c r="D105" s="443">
        <v>2019</v>
      </c>
      <c r="E105" s="13">
        <f t="shared" si="10"/>
        <v>0</v>
      </c>
      <c r="F105" s="13">
        <v>0</v>
      </c>
      <c r="G105" s="604">
        <v>0</v>
      </c>
      <c r="H105" s="604">
        <v>0</v>
      </c>
      <c r="I105" s="604">
        <v>0</v>
      </c>
      <c r="J105" s="1025"/>
      <c r="K105" s="824"/>
    </row>
    <row r="106" spans="1:11" s="608" customFormat="1" outlineLevel="1">
      <c r="A106" s="762"/>
      <c r="B106" s="1007"/>
      <c r="C106" s="990"/>
      <c r="D106" s="443">
        <v>2020</v>
      </c>
      <c r="E106" s="13">
        <f t="shared" si="10"/>
        <v>26595.7</v>
      </c>
      <c r="F106" s="611">
        <v>1595.7</v>
      </c>
      <c r="G106" s="612">
        <v>25000</v>
      </c>
      <c r="H106" s="604">
        <v>0</v>
      </c>
      <c r="I106" s="604">
        <v>0</v>
      </c>
      <c r="J106" s="1025"/>
      <c r="K106" s="824"/>
    </row>
    <row r="107" spans="1:11" s="608" customFormat="1" ht="15" customHeight="1" outlineLevel="1">
      <c r="A107" s="762" t="s">
        <v>636</v>
      </c>
      <c r="B107" s="989" t="s">
        <v>48</v>
      </c>
      <c r="C107" s="990" t="s">
        <v>2673</v>
      </c>
      <c r="D107" s="443" t="s">
        <v>8</v>
      </c>
      <c r="E107" s="13">
        <f t="shared" si="10"/>
        <v>25843.7</v>
      </c>
      <c r="F107" s="13">
        <f>F108+F109</f>
        <v>25843.7</v>
      </c>
      <c r="G107" s="13">
        <f>G108+G109</f>
        <v>0</v>
      </c>
      <c r="H107" s="13">
        <f>H108+H109</f>
        <v>0</v>
      </c>
      <c r="I107" s="13">
        <f>I108+I109</f>
        <v>0</v>
      </c>
      <c r="J107" s="824" t="s">
        <v>2703</v>
      </c>
      <c r="K107" s="1026" t="s">
        <v>23</v>
      </c>
    </row>
    <row r="108" spans="1:11" s="608" customFormat="1" outlineLevel="1">
      <c r="A108" s="762"/>
      <c r="B108" s="989"/>
      <c r="C108" s="990"/>
      <c r="D108" s="443">
        <v>2019</v>
      </c>
      <c r="E108" s="13">
        <f t="shared" si="10"/>
        <v>11236.2</v>
      </c>
      <c r="F108" s="604">
        <v>11236.2</v>
      </c>
      <c r="G108" s="604">
        <v>0</v>
      </c>
      <c r="H108" s="604">
        <v>0</v>
      </c>
      <c r="I108" s="604">
        <v>0</v>
      </c>
      <c r="J108" s="824"/>
      <c r="K108" s="1027"/>
    </row>
    <row r="109" spans="1:11" s="608" customFormat="1" outlineLevel="1">
      <c r="A109" s="762"/>
      <c r="B109" s="989"/>
      <c r="C109" s="990"/>
      <c r="D109" s="443">
        <v>2020</v>
      </c>
      <c r="E109" s="13">
        <f t="shared" si="10"/>
        <v>14607.5</v>
      </c>
      <c r="F109" s="13">
        <v>14607.5</v>
      </c>
      <c r="G109" s="604">
        <v>0</v>
      </c>
      <c r="H109" s="604">
        <v>0</v>
      </c>
      <c r="I109" s="604">
        <v>0</v>
      </c>
      <c r="J109" s="824"/>
      <c r="K109" s="823"/>
    </row>
    <row r="110" spans="1:11" s="608" customFormat="1" ht="15" customHeight="1" outlineLevel="1">
      <c r="A110" s="762" t="s">
        <v>637</v>
      </c>
      <c r="B110" s="989" t="s">
        <v>682</v>
      </c>
      <c r="C110" s="990">
        <v>2020</v>
      </c>
      <c r="D110" s="443" t="s">
        <v>8</v>
      </c>
      <c r="E110" s="13">
        <f t="shared" si="10"/>
        <v>34180.699999999997</v>
      </c>
      <c r="F110" s="13">
        <f>F111+F112</f>
        <v>31423.599999999999</v>
      </c>
      <c r="G110" s="13">
        <f>G111+G112</f>
        <v>0</v>
      </c>
      <c r="H110" s="13">
        <f>H111+H112</f>
        <v>2757.1</v>
      </c>
      <c r="I110" s="13">
        <f>I111+I112</f>
        <v>0</v>
      </c>
      <c r="J110" s="1016" t="s">
        <v>2704</v>
      </c>
      <c r="K110" s="824" t="s">
        <v>2705</v>
      </c>
    </row>
    <row r="111" spans="1:11" s="608" customFormat="1" outlineLevel="1">
      <c r="A111" s="762"/>
      <c r="B111" s="989"/>
      <c r="C111" s="990"/>
      <c r="D111" s="443">
        <v>2019</v>
      </c>
      <c r="E111" s="13">
        <f t="shared" si="10"/>
        <v>0</v>
      </c>
      <c r="F111" s="604">
        <v>0</v>
      </c>
      <c r="G111" s="604">
        <v>0</v>
      </c>
      <c r="H111" s="604">
        <v>0</v>
      </c>
      <c r="I111" s="604">
        <v>0</v>
      </c>
      <c r="J111" s="1016"/>
      <c r="K111" s="824"/>
    </row>
    <row r="112" spans="1:11" s="608" customFormat="1" outlineLevel="1">
      <c r="A112" s="762"/>
      <c r="B112" s="989"/>
      <c r="C112" s="990"/>
      <c r="D112" s="443">
        <v>2020</v>
      </c>
      <c r="E112" s="13">
        <f t="shared" si="10"/>
        <v>34180.699999999997</v>
      </c>
      <c r="F112" s="611">
        <v>31423.599999999999</v>
      </c>
      <c r="G112" s="612">
        <v>0</v>
      </c>
      <c r="H112" s="612">
        <v>2757.1</v>
      </c>
      <c r="I112" s="604">
        <v>0</v>
      </c>
      <c r="J112" s="1016"/>
      <c r="K112" s="824"/>
    </row>
    <row r="113" spans="1:11" s="2" customFormat="1" ht="17.100000000000001" customHeight="1" outlineLevel="1">
      <c r="A113" s="762" t="s">
        <v>683</v>
      </c>
      <c r="B113" s="998" t="s">
        <v>22</v>
      </c>
      <c r="C113" s="990" t="s">
        <v>2673</v>
      </c>
      <c r="D113" s="443" t="s">
        <v>8</v>
      </c>
      <c r="E113" s="13">
        <f t="shared" si="10"/>
        <v>872992.5</v>
      </c>
      <c r="F113" s="611">
        <f>F114+F115</f>
        <v>858107.2</v>
      </c>
      <c r="G113" s="611">
        <f>G114+G115</f>
        <v>14885.3</v>
      </c>
      <c r="H113" s="611">
        <f>H114+H115</f>
        <v>0</v>
      </c>
      <c r="I113" s="13">
        <f>I114+I115</f>
        <v>0</v>
      </c>
      <c r="J113" s="1024" t="s">
        <v>2706</v>
      </c>
      <c r="K113" s="1016" t="s">
        <v>2677</v>
      </c>
    </row>
    <row r="114" spans="1:11" s="2" customFormat="1" ht="17.100000000000001" customHeight="1" outlineLevel="1">
      <c r="A114" s="762"/>
      <c r="B114" s="998"/>
      <c r="C114" s="990"/>
      <c r="D114" s="443">
        <v>2019</v>
      </c>
      <c r="E114" s="13">
        <f t="shared" si="10"/>
        <v>380552</v>
      </c>
      <c r="F114" s="612">
        <v>371642.4</v>
      </c>
      <c r="G114" s="612">
        <v>8909.6</v>
      </c>
      <c r="H114" s="612">
        <v>0</v>
      </c>
      <c r="I114" s="604">
        <v>0</v>
      </c>
      <c r="J114" s="1024"/>
      <c r="K114" s="1016"/>
    </row>
    <row r="115" spans="1:11" s="2" customFormat="1" ht="17.100000000000001" customHeight="1" outlineLevel="1">
      <c r="A115" s="762"/>
      <c r="B115" s="998"/>
      <c r="C115" s="990"/>
      <c r="D115" s="443">
        <v>2020</v>
      </c>
      <c r="E115" s="13">
        <f t="shared" si="10"/>
        <v>492440.5</v>
      </c>
      <c r="F115" s="605">
        <f>479247.5+7217.3</f>
        <v>486464.8</v>
      </c>
      <c r="G115" s="604">
        <v>5975.7</v>
      </c>
      <c r="H115" s="604">
        <v>0</v>
      </c>
      <c r="I115" s="604">
        <v>0</v>
      </c>
      <c r="J115" s="1024"/>
      <c r="K115" s="1016"/>
    </row>
    <row r="116" spans="1:11" s="2" customFormat="1" ht="15.95" customHeight="1">
      <c r="A116" s="991" t="s">
        <v>76</v>
      </c>
      <c r="B116" s="992" t="s">
        <v>77</v>
      </c>
      <c r="C116" s="993" t="s">
        <v>2673</v>
      </c>
      <c r="D116" s="600" t="s">
        <v>8</v>
      </c>
      <c r="E116" s="601">
        <f t="shared" si="10"/>
        <v>2596180.4</v>
      </c>
      <c r="F116" s="601">
        <f>F117+F118</f>
        <v>1403582.5</v>
      </c>
      <c r="G116" s="601">
        <f>G117+G118</f>
        <v>942432.8</v>
      </c>
      <c r="H116" s="601">
        <f>H117+H118</f>
        <v>214165.1</v>
      </c>
      <c r="I116" s="601">
        <f>I117+I118</f>
        <v>36000</v>
      </c>
      <c r="J116" s="1023"/>
      <c r="K116" s="995" t="s">
        <v>2707</v>
      </c>
    </row>
    <row r="117" spans="1:11" s="2" customFormat="1" ht="15.95" customHeight="1">
      <c r="A117" s="991"/>
      <c r="B117" s="992"/>
      <c r="C117" s="993"/>
      <c r="D117" s="600">
        <v>2019</v>
      </c>
      <c r="E117" s="601">
        <f t="shared" si="10"/>
        <v>1195454.9000000001</v>
      </c>
      <c r="F117" s="601">
        <f t="shared" ref="F117:I118" si="14">F120+F168+F231</f>
        <v>744625.60000000009</v>
      </c>
      <c r="G117" s="601">
        <f t="shared" si="14"/>
        <v>312087.3</v>
      </c>
      <c r="H117" s="601">
        <f t="shared" si="14"/>
        <v>110442</v>
      </c>
      <c r="I117" s="601">
        <f t="shared" si="14"/>
        <v>28300</v>
      </c>
      <c r="J117" s="1023"/>
      <c r="K117" s="995"/>
    </row>
    <row r="118" spans="1:11" s="2" customFormat="1" ht="15.95" customHeight="1">
      <c r="A118" s="991"/>
      <c r="B118" s="992"/>
      <c r="C118" s="993"/>
      <c r="D118" s="600">
        <v>2020</v>
      </c>
      <c r="E118" s="601">
        <f t="shared" si="10"/>
        <v>1400725.5</v>
      </c>
      <c r="F118" s="601">
        <f t="shared" si="14"/>
        <v>658956.9</v>
      </c>
      <c r="G118" s="601">
        <f t="shared" si="14"/>
        <v>630345.5</v>
      </c>
      <c r="H118" s="601">
        <f t="shared" si="14"/>
        <v>103723.1</v>
      </c>
      <c r="I118" s="601">
        <f t="shared" si="14"/>
        <v>7700</v>
      </c>
      <c r="J118" s="1023"/>
      <c r="K118" s="995"/>
    </row>
    <row r="119" spans="1:11" s="2" customFormat="1" ht="15" customHeight="1" outlineLevel="1">
      <c r="A119" s="1021" t="s">
        <v>178</v>
      </c>
      <c r="B119" s="1002" t="s">
        <v>80</v>
      </c>
      <c r="C119" s="1003" t="s">
        <v>2673</v>
      </c>
      <c r="D119" s="602" t="s">
        <v>8</v>
      </c>
      <c r="E119" s="603">
        <f t="shared" si="10"/>
        <v>753283</v>
      </c>
      <c r="F119" s="603">
        <f>F120+F121</f>
        <v>589804.1</v>
      </c>
      <c r="G119" s="603">
        <f>G120+G121</f>
        <v>120000</v>
      </c>
      <c r="H119" s="603">
        <f>H120+H121</f>
        <v>43478.9</v>
      </c>
      <c r="I119" s="603">
        <f>I120+I121</f>
        <v>0</v>
      </c>
      <c r="J119" s="1004" t="s">
        <v>81</v>
      </c>
      <c r="K119" s="1005" t="s">
        <v>82</v>
      </c>
    </row>
    <row r="120" spans="1:11" s="2" customFormat="1" outlineLevel="1">
      <c r="A120" s="1021"/>
      <c r="B120" s="1002"/>
      <c r="C120" s="1003"/>
      <c r="D120" s="602">
        <v>2019</v>
      </c>
      <c r="E120" s="603">
        <f t="shared" si="10"/>
        <v>453644.5</v>
      </c>
      <c r="F120" s="603">
        <f t="shared" ref="F120:I121" si="15">F123+F126+F129+F132+F135+F138+F141+F144+F147+F150+F153+F156+F159+F162+F165</f>
        <v>417704.9</v>
      </c>
      <c r="G120" s="603">
        <f t="shared" si="15"/>
        <v>0</v>
      </c>
      <c r="H120" s="603">
        <f t="shared" si="15"/>
        <v>35939.599999999999</v>
      </c>
      <c r="I120" s="603">
        <f t="shared" si="15"/>
        <v>0</v>
      </c>
      <c r="J120" s="1004"/>
      <c r="K120" s="1005"/>
    </row>
    <row r="121" spans="1:11" s="2" customFormat="1" outlineLevel="1">
      <c r="A121" s="1021"/>
      <c r="B121" s="1002"/>
      <c r="C121" s="1003"/>
      <c r="D121" s="602">
        <v>2020</v>
      </c>
      <c r="E121" s="603">
        <f>SUM(F121:I121)</f>
        <v>299638.49999999994</v>
      </c>
      <c r="F121" s="603">
        <f>F124+F127+F130+F133+F136+F139+F142+F145+F148+F151+F154+F157+F160+F163+F166</f>
        <v>172099.19999999998</v>
      </c>
      <c r="G121" s="603">
        <f t="shared" si="15"/>
        <v>120000</v>
      </c>
      <c r="H121" s="603">
        <f t="shared" si="15"/>
        <v>7539.3000000000011</v>
      </c>
      <c r="I121" s="603">
        <f t="shared" si="15"/>
        <v>0</v>
      </c>
      <c r="J121" s="1004"/>
      <c r="K121" s="1005"/>
    </row>
    <row r="122" spans="1:11" s="615" customFormat="1" ht="13.5" customHeight="1" outlineLevel="1">
      <c r="A122" s="985" t="s">
        <v>79</v>
      </c>
      <c r="B122" s="1000" t="s">
        <v>97</v>
      </c>
      <c r="C122" s="987">
        <v>2019</v>
      </c>
      <c r="D122" s="613" t="s">
        <v>8</v>
      </c>
      <c r="E122" s="614">
        <f t="shared" ref="E122:E185" si="16">SUM(F122:I122)</f>
        <v>255383.69999999998</v>
      </c>
      <c r="F122" s="614">
        <f>F123+F124</f>
        <v>252829.8</v>
      </c>
      <c r="G122" s="614">
        <f>G123+G124</f>
        <v>0</v>
      </c>
      <c r="H122" s="614">
        <f>H123+H124</f>
        <v>2553.9</v>
      </c>
      <c r="I122" s="614">
        <f>I123+I124</f>
        <v>0</v>
      </c>
      <c r="J122" s="988" t="s">
        <v>2708</v>
      </c>
      <c r="K122" s="988" t="s">
        <v>98</v>
      </c>
    </row>
    <row r="123" spans="1:11" s="615" customFormat="1" ht="14.25" customHeight="1" outlineLevel="1">
      <c r="A123" s="985"/>
      <c r="B123" s="1000"/>
      <c r="C123" s="987"/>
      <c r="D123" s="613">
        <v>2019</v>
      </c>
      <c r="E123" s="614">
        <f t="shared" si="16"/>
        <v>255383.69999999998</v>
      </c>
      <c r="F123" s="616">
        <f>257277-4447.2</f>
        <v>252829.8</v>
      </c>
      <c r="G123" s="616">
        <v>0</v>
      </c>
      <c r="H123" s="616">
        <v>2553.9</v>
      </c>
      <c r="I123" s="616">
        <v>0</v>
      </c>
      <c r="J123" s="988"/>
      <c r="K123" s="988"/>
    </row>
    <row r="124" spans="1:11" s="615" customFormat="1" ht="12.75" outlineLevel="1">
      <c r="A124" s="985"/>
      <c r="B124" s="1000"/>
      <c r="C124" s="987"/>
      <c r="D124" s="613">
        <v>2020</v>
      </c>
      <c r="E124" s="614">
        <f t="shared" si="16"/>
        <v>0</v>
      </c>
      <c r="F124" s="616">
        <v>0</v>
      </c>
      <c r="G124" s="616">
        <v>0</v>
      </c>
      <c r="H124" s="616">
        <v>0</v>
      </c>
      <c r="I124" s="616">
        <v>0</v>
      </c>
      <c r="J124" s="988"/>
      <c r="K124" s="988"/>
    </row>
    <row r="125" spans="1:11" s="615" customFormat="1" ht="12.75" outlineLevel="1">
      <c r="A125" s="985" t="s">
        <v>215</v>
      </c>
      <c r="B125" s="986" t="s">
        <v>2709</v>
      </c>
      <c r="C125" s="987">
        <v>2019</v>
      </c>
      <c r="D125" s="613" t="s">
        <v>8</v>
      </c>
      <c r="E125" s="614">
        <f t="shared" si="16"/>
        <v>4724.1000000000004</v>
      </c>
      <c r="F125" s="614">
        <f>F126+F127</f>
        <v>4724.1000000000004</v>
      </c>
      <c r="G125" s="614">
        <f>G126+G127</f>
        <v>0</v>
      </c>
      <c r="H125" s="614">
        <f>H126+H127</f>
        <v>0</v>
      </c>
      <c r="I125" s="614">
        <f>I126+I127</f>
        <v>0</v>
      </c>
      <c r="J125" s="988" t="s">
        <v>2710</v>
      </c>
      <c r="K125" s="988" t="s">
        <v>100</v>
      </c>
    </row>
    <row r="126" spans="1:11" s="615" customFormat="1" ht="12.75" outlineLevel="1">
      <c r="A126" s="985"/>
      <c r="B126" s="986"/>
      <c r="C126" s="987"/>
      <c r="D126" s="613">
        <v>2019</v>
      </c>
      <c r="E126" s="614">
        <f t="shared" si="16"/>
        <v>4724.1000000000004</v>
      </c>
      <c r="F126" s="616">
        <v>4724.1000000000004</v>
      </c>
      <c r="G126" s="616">
        <v>0</v>
      </c>
      <c r="H126" s="616">
        <v>0</v>
      </c>
      <c r="I126" s="616">
        <v>0</v>
      </c>
      <c r="J126" s="988"/>
      <c r="K126" s="988"/>
    </row>
    <row r="127" spans="1:11" s="615" customFormat="1" ht="12.75" outlineLevel="1">
      <c r="A127" s="985"/>
      <c r="B127" s="986"/>
      <c r="C127" s="987"/>
      <c r="D127" s="613">
        <v>2020</v>
      </c>
      <c r="E127" s="614">
        <f t="shared" si="16"/>
        <v>0</v>
      </c>
      <c r="F127" s="616">
        <v>0</v>
      </c>
      <c r="G127" s="616">
        <v>0</v>
      </c>
      <c r="H127" s="616">
        <v>0</v>
      </c>
      <c r="I127" s="616">
        <v>0</v>
      </c>
      <c r="J127" s="988"/>
      <c r="K127" s="988"/>
    </row>
    <row r="128" spans="1:11" s="615" customFormat="1" ht="12.75" outlineLevel="1">
      <c r="A128" s="1020" t="s">
        <v>217</v>
      </c>
      <c r="B128" s="986" t="s">
        <v>639</v>
      </c>
      <c r="C128" s="1020">
        <v>2019</v>
      </c>
      <c r="D128" s="617" t="s">
        <v>8</v>
      </c>
      <c r="E128" s="618">
        <f>SUM(F128:I128)</f>
        <v>72000</v>
      </c>
      <c r="F128" s="618">
        <f>F129+F130</f>
        <v>72000</v>
      </c>
      <c r="G128" s="618">
        <f>G129+G130</f>
        <v>0</v>
      </c>
      <c r="H128" s="618">
        <f>H129+H130</f>
        <v>0</v>
      </c>
      <c r="I128" s="618">
        <f>I129+I130</f>
        <v>0</v>
      </c>
      <c r="J128" s="1022" t="s">
        <v>2711</v>
      </c>
      <c r="K128" s="1009" t="s">
        <v>89</v>
      </c>
    </row>
    <row r="129" spans="1:11" s="615" customFormat="1" ht="12.75" outlineLevel="1">
      <c r="A129" s="1020"/>
      <c r="B129" s="986"/>
      <c r="C129" s="1020"/>
      <c r="D129" s="617">
        <v>2019</v>
      </c>
      <c r="E129" s="618">
        <f>SUM(F129:I129)</f>
        <v>72000</v>
      </c>
      <c r="F129" s="619">
        <v>72000</v>
      </c>
      <c r="G129" s="619">
        <v>0</v>
      </c>
      <c r="H129" s="619">
        <v>0</v>
      </c>
      <c r="I129" s="619">
        <v>0</v>
      </c>
      <c r="J129" s="1022"/>
      <c r="K129" s="1009"/>
    </row>
    <row r="130" spans="1:11" s="615" customFormat="1" ht="12.75" outlineLevel="1">
      <c r="A130" s="1020"/>
      <c r="B130" s="986"/>
      <c r="C130" s="1020"/>
      <c r="D130" s="617">
        <v>2020</v>
      </c>
      <c r="E130" s="618">
        <f>SUM(F130:I130)</f>
        <v>0</v>
      </c>
      <c r="F130" s="619">
        <v>0</v>
      </c>
      <c r="G130" s="619">
        <v>0</v>
      </c>
      <c r="H130" s="619">
        <v>0</v>
      </c>
      <c r="I130" s="619">
        <v>0</v>
      </c>
      <c r="J130" s="1022"/>
      <c r="K130" s="1009"/>
    </row>
    <row r="131" spans="1:11" s="615" customFormat="1" ht="12.75" outlineLevel="1">
      <c r="A131" s="985" t="s">
        <v>218</v>
      </c>
      <c r="B131" s="1000" t="s">
        <v>231</v>
      </c>
      <c r="C131" s="987">
        <v>2019</v>
      </c>
      <c r="D131" s="613" t="s">
        <v>8</v>
      </c>
      <c r="E131" s="614">
        <f t="shared" si="16"/>
        <v>7352.7</v>
      </c>
      <c r="F131" s="614">
        <f>F132+F133</f>
        <v>7352.7</v>
      </c>
      <c r="G131" s="614">
        <f>G132+G133</f>
        <v>0</v>
      </c>
      <c r="H131" s="614">
        <f>H132+H133</f>
        <v>0</v>
      </c>
      <c r="I131" s="614">
        <f>I132+I133</f>
        <v>0</v>
      </c>
      <c r="J131" s="988" t="s">
        <v>2712</v>
      </c>
      <c r="K131" s="988" t="s">
        <v>293</v>
      </c>
    </row>
    <row r="132" spans="1:11" s="615" customFormat="1" ht="12.75" outlineLevel="1">
      <c r="A132" s="985"/>
      <c r="B132" s="1000"/>
      <c r="C132" s="987"/>
      <c r="D132" s="613">
        <v>2019</v>
      </c>
      <c r="E132" s="614">
        <f t="shared" si="16"/>
        <v>7352.7</v>
      </c>
      <c r="F132" s="616">
        <v>7352.7</v>
      </c>
      <c r="G132" s="616">
        <v>0</v>
      </c>
      <c r="H132" s="616">
        <v>0</v>
      </c>
      <c r="I132" s="616">
        <v>0</v>
      </c>
      <c r="J132" s="988"/>
      <c r="K132" s="988"/>
    </row>
    <row r="133" spans="1:11" s="615" customFormat="1" ht="12.75" outlineLevel="1">
      <c r="A133" s="985"/>
      <c r="B133" s="1000"/>
      <c r="C133" s="987"/>
      <c r="D133" s="613">
        <v>2020</v>
      </c>
      <c r="E133" s="614">
        <f t="shared" si="16"/>
        <v>0</v>
      </c>
      <c r="F133" s="616">
        <v>0</v>
      </c>
      <c r="G133" s="616">
        <v>0</v>
      </c>
      <c r="H133" s="616">
        <v>0</v>
      </c>
      <c r="I133" s="616">
        <v>0</v>
      </c>
      <c r="J133" s="988"/>
      <c r="K133" s="988"/>
    </row>
    <row r="134" spans="1:11" s="615" customFormat="1" ht="12.75" outlineLevel="1">
      <c r="A134" s="1020" t="s">
        <v>220</v>
      </c>
      <c r="B134" s="986" t="s">
        <v>2713</v>
      </c>
      <c r="C134" s="1020">
        <v>2019</v>
      </c>
      <c r="D134" s="617" t="s">
        <v>8</v>
      </c>
      <c r="E134" s="618">
        <f>SUM(F134:I134)</f>
        <v>50000</v>
      </c>
      <c r="F134" s="618">
        <f>F135+F136</f>
        <v>25000</v>
      </c>
      <c r="G134" s="618">
        <f>G135+G136</f>
        <v>0</v>
      </c>
      <c r="H134" s="618">
        <f>H135+H136</f>
        <v>25000</v>
      </c>
      <c r="I134" s="618">
        <f>I135+I136</f>
        <v>0</v>
      </c>
      <c r="J134" s="1009" t="s">
        <v>2714</v>
      </c>
      <c r="K134" s="1009" t="s">
        <v>2715</v>
      </c>
    </row>
    <row r="135" spans="1:11" s="615" customFormat="1" ht="12.75" outlineLevel="1">
      <c r="A135" s="1020"/>
      <c r="B135" s="986"/>
      <c r="C135" s="1020"/>
      <c r="D135" s="617">
        <v>2019</v>
      </c>
      <c r="E135" s="618">
        <f>SUM(F135:I135)</f>
        <v>50000</v>
      </c>
      <c r="F135" s="619">
        <v>25000</v>
      </c>
      <c r="G135" s="619">
        <v>0</v>
      </c>
      <c r="H135" s="619">
        <v>25000</v>
      </c>
      <c r="I135" s="619">
        <v>0</v>
      </c>
      <c r="J135" s="1009"/>
      <c r="K135" s="1009"/>
    </row>
    <row r="136" spans="1:11" s="615" customFormat="1" ht="12.75" outlineLevel="1">
      <c r="A136" s="1020"/>
      <c r="B136" s="986"/>
      <c r="C136" s="1020"/>
      <c r="D136" s="617">
        <v>2020</v>
      </c>
      <c r="E136" s="618">
        <f>SUM(F136:I136)</f>
        <v>0</v>
      </c>
      <c r="F136" s="619">
        <v>0</v>
      </c>
      <c r="G136" s="619">
        <v>0</v>
      </c>
      <c r="H136" s="619">
        <v>0</v>
      </c>
      <c r="I136" s="619">
        <v>0</v>
      </c>
      <c r="J136" s="1009"/>
      <c r="K136" s="1009"/>
    </row>
    <row r="137" spans="1:11" s="615" customFormat="1" ht="13.5" customHeight="1" outlineLevel="1">
      <c r="A137" s="985" t="s">
        <v>221</v>
      </c>
      <c r="B137" s="1000" t="s">
        <v>2716</v>
      </c>
      <c r="C137" s="987">
        <v>2019</v>
      </c>
      <c r="D137" s="613" t="s">
        <v>8</v>
      </c>
      <c r="E137" s="614">
        <f t="shared" si="16"/>
        <v>24555.899999999998</v>
      </c>
      <c r="F137" s="614">
        <f>F138+F139</f>
        <v>24310.3</v>
      </c>
      <c r="G137" s="614">
        <f>G138+G139</f>
        <v>0</v>
      </c>
      <c r="H137" s="614">
        <f>H138+H139</f>
        <v>245.6</v>
      </c>
      <c r="I137" s="614">
        <f>I138+I139</f>
        <v>0</v>
      </c>
      <c r="J137" s="988" t="s">
        <v>2717</v>
      </c>
      <c r="K137" s="988" t="s">
        <v>2718</v>
      </c>
    </row>
    <row r="138" spans="1:11" s="615" customFormat="1" ht="14.25" customHeight="1" outlineLevel="1">
      <c r="A138" s="985"/>
      <c r="B138" s="1000"/>
      <c r="C138" s="987"/>
      <c r="D138" s="613">
        <v>2019</v>
      </c>
      <c r="E138" s="614">
        <f t="shared" si="16"/>
        <v>24555.899999999998</v>
      </c>
      <c r="F138" s="616">
        <v>24310.3</v>
      </c>
      <c r="G138" s="616">
        <v>0</v>
      </c>
      <c r="H138" s="616">
        <v>245.6</v>
      </c>
      <c r="I138" s="616">
        <v>0</v>
      </c>
      <c r="J138" s="988"/>
      <c r="K138" s="988"/>
    </row>
    <row r="139" spans="1:11" s="615" customFormat="1" ht="14.25" customHeight="1" outlineLevel="1">
      <c r="A139" s="985"/>
      <c r="B139" s="1000"/>
      <c r="C139" s="987"/>
      <c r="D139" s="613">
        <v>2020</v>
      </c>
      <c r="E139" s="614">
        <f t="shared" si="16"/>
        <v>0</v>
      </c>
      <c r="F139" s="616">
        <v>0</v>
      </c>
      <c r="G139" s="616">
        <v>0</v>
      </c>
      <c r="H139" s="616">
        <v>0</v>
      </c>
      <c r="I139" s="616">
        <v>0</v>
      </c>
      <c r="J139" s="988"/>
      <c r="K139" s="988"/>
    </row>
    <row r="140" spans="1:11" ht="15" customHeight="1" outlineLevel="1">
      <c r="A140" s="762" t="s">
        <v>222</v>
      </c>
      <c r="B140" s="989" t="s">
        <v>2719</v>
      </c>
      <c r="C140" s="990">
        <v>2019</v>
      </c>
      <c r="D140" s="443" t="s">
        <v>8</v>
      </c>
      <c r="E140" s="13">
        <f t="shared" si="16"/>
        <v>5700</v>
      </c>
      <c r="F140" s="13">
        <f>F141+F142</f>
        <v>5700</v>
      </c>
      <c r="G140" s="13">
        <f>G141+G142</f>
        <v>0</v>
      </c>
      <c r="H140" s="13">
        <f>H141+H142</f>
        <v>0</v>
      </c>
      <c r="I140" s="13">
        <f>I141+I142</f>
        <v>0</v>
      </c>
      <c r="J140" s="824" t="s">
        <v>2720</v>
      </c>
      <c r="K140" s="824" t="s">
        <v>2691</v>
      </c>
    </row>
    <row r="141" spans="1:11" outlineLevel="1">
      <c r="A141" s="762"/>
      <c r="B141" s="989"/>
      <c r="C141" s="990"/>
      <c r="D141" s="443">
        <v>2019</v>
      </c>
      <c r="E141" s="13">
        <f t="shared" si="16"/>
        <v>5700</v>
      </c>
      <c r="F141" s="604">
        <v>5700</v>
      </c>
      <c r="G141" s="604">
        <v>0</v>
      </c>
      <c r="H141" s="604">
        <v>0</v>
      </c>
      <c r="I141" s="604">
        <v>0</v>
      </c>
      <c r="J141" s="824"/>
      <c r="K141" s="824"/>
    </row>
    <row r="142" spans="1:11" outlineLevel="1">
      <c r="A142" s="762"/>
      <c r="B142" s="989"/>
      <c r="C142" s="990"/>
      <c r="D142" s="443">
        <v>2020</v>
      </c>
      <c r="E142" s="13">
        <f t="shared" si="16"/>
        <v>0</v>
      </c>
      <c r="F142" s="604">
        <v>0</v>
      </c>
      <c r="G142" s="604">
        <v>0</v>
      </c>
      <c r="H142" s="604">
        <v>0</v>
      </c>
      <c r="I142" s="604">
        <v>0</v>
      </c>
      <c r="J142" s="824"/>
      <c r="K142" s="824"/>
    </row>
    <row r="143" spans="1:11" ht="15" customHeight="1" outlineLevel="1">
      <c r="A143" s="762" t="s">
        <v>227</v>
      </c>
      <c r="B143" s="989" t="s">
        <v>2721</v>
      </c>
      <c r="C143" s="990">
        <v>2019</v>
      </c>
      <c r="D143" s="443" t="s">
        <v>8</v>
      </c>
      <c r="E143" s="13">
        <f t="shared" si="16"/>
        <v>24300</v>
      </c>
      <c r="F143" s="13">
        <f>F144+F145</f>
        <v>24300</v>
      </c>
      <c r="G143" s="13">
        <f>G144+G145</f>
        <v>0</v>
      </c>
      <c r="H143" s="13">
        <f>H144+H145</f>
        <v>0</v>
      </c>
      <c r="I143" s="13">
        <f>I144+I145</f>
        <v>0</v>
      </c>
      <c r="J143" s="824" t="s">
        <v>2722</v>
      </c>
      <c r="K143" s="824" t="s">
        <v>2691</v>
      </c>
    </row>
    <row r="144" spans="1:11" outlineLevel="1">
      <c r="A144" s="762"/>
      <c r="B144" s="989"/>
      <c r="C144" s="990"/>
      <c r="D144" s="443">
        <v>2019</v>
      </c>
      <c r="E144" s="13">
        <f t="shared" si="16"/>
        <v>24300</v>
      </c>
      <c r="F144" s="604">
        <v>24300</v>
      </c>
      <c r="G144" s="604">
        <v>0</v>
      </c>
      <c r="H144" s="604">
        <v>0</v>
      </c>
      <c r="I144" s="604">
        <v>0</v>
      </c>
      <c r="J144" s="824"/>
      <c r="K144" s="824"/>
    </row>
    <row r="145" spans="1:11" outlineLevel="1">
      <c r="A145" s="762"/>
      <c r="B145" s="989"/>
      <c r="C145" s="990"/>
      <c r="D145" s="443">
        <v>2020</v>
      </c>
      <c r="E145" s="13">
        <f t="shared" si="16"/>
        <v>0</v>
      </c>
      <c r="F145" s="604">
        <v>0</v>
      </c>
      <c r="G145" s="604">
        <v>0</v>
      </c>
      <c r="H145" s="604">
        <v>0</v>
      </c>
      <c r="I145" s="604">
        <v>0</v>
      </c>
      <c r="J145" s="824"/>
      <c r="K145" s="824"/>
    </row>
    <row r="146" spans="1:11" s="620" customFormat="1" ht="15" customHeight="1" outlineLevel="1">
      <c r="A146" s="997" t="s">
        <v>228</v>
      </c>
      <c r="B146" s="998" t="s">
        <v>2723</v>
      </c>
      <c r="C146" s="997">
        <v>2019</v>
      </c>
      <c r="D146" s="37" t="s">
        <v>8</v>
      </c>
      <c r="E146" s="611">
        <f t="shared" si="16"/>
        <v>597.9</v>
      </c>
      <c r="F146" s="611">
        <f>F147+F148</f>
        <v>568</v>
      </c>
      <c r="G146" s="611">
        <f>G147+G148</f>
        <v>0</v>
      </c>
      <c r="H146" s="611">
        <f>H147+H148</f>
        <v>29.9</v>
      </c>
      <c r="I146" s="611">
        <f>I147+I148</f>
        <v>0</v>
      </c>
      <c r="J146" s="944" t="s">
        <v>2724</v>
      </c>
      <c r="K146" s="944" t="s">
        <v>2725</v>
      </c>
    </row>
    <row r="147" spans="1:11" s="620" customFormat="1" outlineLevel="1">
      <c r="A147" s="997"/>
      <c r="B147" s="998"/>
      <c r="C147" s="997"/>
      <c r="D147" s="37">
        <v>2019</v>
      </c>
      <c r="E147" s="611">
        <f t="shared" si="16"/>
        <v>597.9</v>
      </c>
      <c r="F147" s="621">
        <v>568</v>
      </c>
      <c r="G147" s="612">
        <v>0</v>
      </c>
      <c r="H147" s="612">
        <v>29.9</v>
      </c>
      <c r="I147" s="612">
        <v>0</v>
      </c>
      <c r="J147" s="944"/>
      <c r="K147" s="944"/>
    </row>
    <row r="148" spans="1:11" s="620" customFormat="1" outlineLevel="1">
      <c r="A148" s="997"/>
      <c r="B148" s="998"/>
      <c r="C148" s="997"/>
      <c r="D148" s="37">
        <v>2020</v>
      </c>
      <c r="E148" s="611">
        <f t="shared" si="16"/>
        <v>0</v>
      </c>
      <c r="F148" s="612">
        <v>0</v>
      </c>
      <c r="G148" s="612">
        <v>0</v>
      </c>
      <c r="H148" s="612">
        <v>0</v>
      </c>
      <c r="I148" s="612">
        <v>0</v>
      </c>
      <c r="J148" s="944"/>
      <c r="K148" s="944"/>
    </row>
    <row r="149" spans="1:11" s="622" customFormat="1" ht="15" customHeight="1" outlineLevel="1">
      <c r="A149" s="985" t="s">
        <v>229</v>
      </c>
      <c r="B149" s="1000" t="s">
        <v>2726</v>
      </c>
      <c r="C149" s="985">
        <v>2020</v>
      </c>
      <c r="D149" s="613" t="s">
        <v>8</v>
      </c>
      <c r="E149" s="614">
        <f t="shared" si="16"/>
        <v>9998.5</v>
      </c>
      <c r="F149" s="614">
        <f>F150+F151</f>
        <v>9998.5</v>
      </c>
      <c r="G149" s="614">
        <f>G150+G151</f>
        <v>0</v>
      </c>
      <c r="H149" s="614">
        <f>H150+H151</f>
        <v>0</v>
      </c>
      <c r="I149" s="614">
        <f>I150+I151</f>
        <v>0</v>
      </c>
      <c r="J149" s="988" t="s">
        <v>2727</v>
      </c>
      <c r="K149" s="1009" t="s">
        <v>89</v>
      </c>
    </row>
    <row r="150" spans="1:11" s="622" customFormat="1" outlineLevel="1">
      <c r="A150" s="985"/>
      <c r="B150" s="1000"/>
      <c r="C150" s="985"/>
      <c r="D150" s="613">
        <v>2019</v>
      </c>
      <c r="E150" s="614">
        <f t="shared" si="16"/>
        <v>0</v>
      </c>
      <c r="F150" s="616">
        <v>0</v>
      </c>
      <c r="G150" s="616">
        <v>0</v>
      </c>
      <c r="H150" s="616">
        <v>0</v>
      </c>
      <c r="I150" s="616">
        <v>0</v>
      </c>
      <c r="J150" s="988"/>
      <c r="K150" s="1009"/>
    </row>
    <row r="151" spans="1:11" s="622" customFormat="1" outlineLevel="1">
      <c r="A151" s="985"/>
      <c r="B151" s="1000"/>
      <c r="C151" s="985"/>
      <c r="D151" s="613">
        <v>2020</v>
      </c>
      <c r="E151" s="614">
        <f t="shared" si="16"/>
        <v>9998.5</v>
      </c>
      <c r="F151" s="616">
        <v>9998.5</v>
      </c>
      <c r="G151" s="616">
        <v>0</v>
      </c>
      <c r="H151" s="616">
        <v>0</v>
      </c>
      <c r="I151" s="616">
        <v>0</v>
      </c>
      <c r="J151" s="988"/>
      <c r="K151" s="1009"/>
    </row>
    <row r="152" spans="1:11" s="622" customFormat="1" outlineLevel="1">
      <c r="A152" s="1020" t="s">
        <v>230</v>
      </c>
      <c r="B152" s="986" t="s">
        <v>664</v>
      </c>
      <c r="C152" s="1020">
        <v>2019</v>
      </c>
      <c r="D152" s="617" t="s">
        <v>8</v>
      </c>
      <c r="E152" s="618">
        <f t="shared" si="16"/>
        <v>265483.7</v>
      </c>
      <c r="F152" s="618">
        <f>F153+F154</f>
        <v>130504.8</v>
      </c>
      <c r="G152" s="618">
        <f>G153+G154</f>
        <v>120000</v>
      </c>
      <c r="H152" s="618">
        <f>H153+H154</f>
        <v>14978.9</v>
      </c>
      <c r="I152" s="618">
        <f>I153+I154</f>
        <v>0</v>
      </c>
      <c r="J152" s="1008" t="s">
        <v>2728</v>
      </c>
      <c r="K152" s="1009" t="s">
        <v>89</v>
      </c>
    </row>
    <row r="153" spans="1:11" s="622" customFormat="1" outlineLevel="1">
      <c r="A153" s="1020"/>
      <c r="B153" s="986"/>
      <c r="C153" s="1020"/>
      <c r="D153" s="617">
        <v>2019</v>
      </c>
      <c r="E153" s="618">
        <f t="shared" si="16"/>
        <v>8110.2</v>
      </c>
      <c r="F153" s="619">
        <v>0</v>
      </c>
      <c r="G153" s="619">
        <v>0</v>
      </c>
      <c r="H153" s="619">
        <v>8110.2</v>
      </c>
      <c r="I153" s="619">
        <v>0</v>
      </c>
      <c r="J153" s="1008"/>
      <c r="K153" s="1009"/>
    </row>
    <row r="154" spans="1:11" s="622" customFormat="1" outlineLevel="1">
      <c r="A154" s="1020"/>
      <c r="B154" s="986"/>
      <c r="C154" s="1020"/>
      <c r="D154" s="617">
        <v>2020</v>
      </c>
      <c r="E154" s="618">
        <f t="shared" si="16"/>
        <v>257373.5</v>
      </c>
      <c r="F154" s="623">
        <v>130504.8</v>
      </c>
      <c r="G154" s="623">
        <v>120000</v>
      </c>
      <c r="H154" s="623">
        <v>6868.7</v>
      </c>
      <c r="I154" s="619">
        <v>0</v>
      </c>
      <c r="J154" s="1008"/>
      <c r="K154" s="1009"/>
    </row>
    <row r="155" spans="1:11" s="622" customFormat="1" outlineLevel="1">
      <c r="A155" s="1020" t="s">
        <v>234</v>
      </c>
      <c r="B155" s="986" t="s">
        <v>2729</v>
      </c>
      <c r="C155" s="1020">
        <v>2019</v>
      </c>
      <c r="D155" s="617" t="s">
        <v>8</v>
      </c>
      <c r="E155" s="618">
        <f t="shared" si="16"/>
        <v>920</v>
      </c>
      <c r="F155" s="618">
        <f>F156+F157</f>
        <v>920</v>
      </c>
      <c r="G155" s="618">
        <f>G156+G157</f>
        <v>0</v>
      </c>
      <c r="H155" s="618">
        <f>H156+H157</f>
        <v>0</v>
      </c>
      <c r="I155" s="618">
        <f>I156+I157</f>
        <v>0</v>
      </c>
      <c r="J155" s="1009" t="s">
        <v>2730</v>
      </c>
      <c r="K155" s="1009" t="s">
        <v>89</v>
      </c>
    </row>
    <row r="156" spans="1:11" s="622" customFormat="1" outlineLevel="1">
      <c r="A156" s="1020"/>
      <c r="B156" s="986"/>
      <c r="C156" s="1020"/>
      <c r="D156" s="617">
        <v>2019</v>
      </c>
      <c r="E156" s="618">
        <f t="shared" si="16"/>
        <v>920</v>
      </c>
      <c r="F156" s="619">
        <v>920</v>
      </c>
      <c r="G156" s="619">
        <v>0</v>
      </c>
      <c r="H156" s="619">
        <v>0</v>
      </c>
      <c r="I156" s="619">
        <v>0</v>
      </c>
      <c r="J156" s="1009"/>
      <c r="K156" s="1009"/>
    </row>
    <row r="157" spans="1:11" s="622" customFormat="1" outlineLevel="1">
      <c r="A157" s="1020"/>
      <c r="B157" s="986"/>
      <c r="C157" s="1020"/>
      <c r="D157" s="617">
        <v>2020</v>
      </c>
      <c r="E157" s="618">
        <f t="shared" si="16"/>
        <v>0</v>
      </c>
      <c r="F157" s="619">
        <v>0</v>
      </c>
      <c r="G157" s="619">
        <v>0</v>
      </c>
      <c r="H157" s="619">
        <v>0</v>
      </c>
      <c r="I157" s="619">
        <v>0</v>
      </c>
      <c r="J157" s="1009"/>
      <c r="K157" s="1009"/>
    </row>
    <row r="158" spans="1:11" s="622" customFormat="1" ht="15" customHeight="1" outlineLevel="1">
      <c r="A158" s="1019" t="s">
        <v>451</v>
      </c>
      <c r="B158" s="1007" t="s">
        <v>2731</v>
      </c>
      <c r="C158" s="1020">
        <v>2020</v>
      </c>
      <c r="D158" s="617" t="s">
        <v>8</v>
      </c>
      <c r="E158" s="618">
        <f t="shared" si="16"/>
        <v>20000</v>
      </c>
      <c r="F158" s="618">
        <f>F159+F160</f>
        <v>20000</v>
      </c>
      <c r="G158" s="618">
        <f>G159+G160</f>
        <v>0</v>
      </c>
      <c r="H158" s="618">
        <f>H159+H160</f>
        <v>0</v>
      </c>
      <c r="I158" s="618">
        <f>I159+I160</f>
        <v>0</v>
      </c>
      <c r="J158" s="1009" t="s">
        <v>2732</v>
      </c>
      <c r="K158" s="1009" t="s">
        <v>89</v>
      </c>
    </row>
    <row r="159" spans="1:11" s="622" customFormat="1" outlineLevel="1">
      <c r="A159" s="1019"/>
      <c r="B159" s="1007"/>
      <c r="C159" s="1020"/>
      <c r="D159" s="617">
        <v>2019</v>
      </c>
      <c r="E159" s="618">
        <f t="shared" si="16"/>
        <v>0</v>
      </c>
      <c r="F159" s="619">
        <v>0</v>
      </c>
      <c r="G159" s="619">
        <v>0</v>
      </c>
      <c r="H159" s="619">
        <v>0</v>
      </c>
      <c r="I159" s="619">
        <v>0</v>
      </c>
      <c r="J159" s="1009"/>
      <c r="K159" s="1009"/>
    </row>
    <row r="160" spans="1:11" s="622" customFormat="1" outlineLevel="1">
      <c r="A160" s="1019"/>
      <c r="B160" s="1007"/>
      <c r="C160" s="1020"/>
      <c r="D160" s="617">
        <v>2020</v>
      </c>
      <c r="E160" s="618">
        <f t="shared" si="16"/>
        <v>20000</v>
      </c>
      <c r="F160" s="623">
        <v>20000</v>
      </c>
      <c r="G160" s="619">
        <v>0</v>
      </c>
      <c r="H160" s="619">
        <v>0</v>
      </c>
      <c r="I160" s="619">
        <v>0</v>
      </c>
      <c r="J160" s="1009"/>
      <c r="K160" s="1009"/>
    </row>
    <row r="161" spans="1:12" s="622" customFormat="1" ht="15" customHeight="1" outlineLevel="1">
      <c r="A161" s="1019" t="s">
        <v>640</v>
      </c>
      <c r="B161" s="986" t="s">
        <v>665</v>
      </c>
      <c r="C161" s="1020">
        <v>2020</v>
      </c>
      <c r="D161" s="617" t="s">
        <v>8</v>
      </c>
      <c r="E161" s="618">
        <f t="shared" si="16"/>
        <v>9974.6</v>
      </c>
      <c r="F161" s="618">
        <f>F162+F163</f>
        <v>9475.9</v>
      </c>
      <c r="G161" s="618">
        <f>G162+G163</f>
        <v>0</v>
      </c>
      <c r="H161" s="618">
        <f>H162+H163</f>
        <v>498.70000000000073</v>
      </c>
      <c r="I161" s="618">
        <f>I162+I163</f>
        <v>0</v>
      </c>
      <c r="J161" s="1009" t="s">
        <v>2733</v>
      </c>
      <c r="K161" s="1009" t="s">
        <v>89</v>
      </c>
    </row>
    <row r="162" spans="1:12" s="622" customFormat="1" outlineLevel="1">
      <c r="A162" s="1019"/>
      <c r="B162" s="986"/>
      <c r="C162" s="1020"/>
      <c r="D162" s="617">
        <v>2019</v>
      </c>
      <c r="E162" s="618">
        <f t="shared" si="16"/>
        <v>0</v>
      </c>
      <c r="F162" s="619">
        <v>0</v>
      </c>
      <c r="G162" s="619">
        <v>0</v>
      </c>
      <c r="H162" s="619">
        <v>0</v>
      </c>
      <c r="I162" s="619">
        <v>0</v>
      </c>
      <c r="J162" s="1009"/>
      <c r="K162" s="1009"/>
      <c r="L162" s="624"/>
    </row>
    <row r="163" spans="1:12" s="622" customFormat="1" outlineLevel="1">
      <c r="A163" s="1019"/>
      <c r="B163" s="986"/>
      <c r="C163" s="1020"/>
      <c r="D163" s="617">
        <v>2020</v>
      </c>
      <c r="E163" s="618">
        <f t="shared" si="16"/>
        <v>9974.6</v>
      </c>
      <c r="F163" s="623">
        <v>9475.9</v>
      </c>
      <c r="G163" s="619">
        <v>0</v>
      </c>
      <c r="H163" s="619">
        <v>498.70000000000073</v>
      </c>
      <c r="I163" s="619">
        <v>0</v>
      </c>
      <c r="J163" s="1009"/>
      <c r="K163" s="1009"/>
    </row>
    <row r="164" spans="1:12" s="622" customFormat="1" ht="15" customHeight="1" outlineLevel="1">
      <c r="A164" s="1019" t="s">
        <v>641</v>
      </c>
      <c r="B164" s="986" t="s">
        <v>666</v>
      </c>
      <c r="C164" s="1020">
        <v>2020</v>
      </c>
      <c r="D164" s="617" t="s">
        <v>8</v>
      </c>
      <c r="E164" s="618">
        <f t="shared" si="16"/>
        <v>2291.9</v>
      </c>
      <c r="F164" s="618">
        <f>F165+F166</f>
        <v>2120</v>
      </c>
      <c r="G164" s="618">
        <f>G165+G166</f>
        <v>0</v>
      </c>
      <c r="H164" s="618">
        <f>H165+H166</f>
        <v>171.90000000000009</v>
      </c>
      <c r="I164" s="618">
        <f>I165+I166</f>
        <v>0</v>
      </c>
      <c r="J164" s="1009" t="s">
        <v>2734</v>
      </c>
      <c r="K164" s="1009" t="s">
        <v>89</v>
      </c>
    </row>
    <row r="165" spans="1:12" s="622" customFormat="1" outlineLevel="1">
      <c r="A165" s="1019"/>
      <c r="B165" s="986"/>
      <c r="C165" s="1020"/>
      <c r="D165" s="617">
        <v>2019</v>
      </c>
      <c r="E165" s="618">
        <f t="shared" si="16"/>
        <v>0</v>
      </c>
      <c r="F165" s="619">
        <v>0</v>
      </c>
      <c r="G165" s="619">
        <v>0</v>
      </c>
      <c r="H165" s="619">
        <v>0</v>
      </c>
      <c r="I165" s="619">
        <v>0</v>
      </c>
      <c r="J165" s="1009"/>
      <c r="K165" s="1009"/>
      <c r="L165" s="624"/>
    </row>
    <row r="166" spans="1:12" s="622" customFormat="1" outlineLevel="1">
      <c r="A166" s="1019"/>
      <c r="B166" s="986"/>
      <c r="C166" s="1020"/>
      <c r="D166" s="617">
        <v>2020</v>
      </c>
      <c r="E166" s="618">
        <f t="shared" si="16"/>
        <v>2291.9</v>
      </c>
      <c r="F166" s="623">
        <v>2120</v>
      </c>
      <c r="G166" s="619">
        <v>0</v>
      </c>
      <c r="H166" s="619">
        <v>171.90000000000009</v>
      </c>
      <c r="I166" s="619">
        <v>0</v>
      </c>
      <c r="J166" s="1009"/>
      <c r="K166" s="1009"/>
    </row>
    <row r="167" spans="1:12" outlineLevel="1">
      <c r="A167" s="1021" t="s">
        <v>179</v>
      </c>
      <c r="B167" s="1002" t="s">
        <v>2735</v>
      </c>
      <c r="C167" s="1003" t="s">
        <v>2673</v>
      </c>
      <c r="D167" s="602" t="s">
        <v>8</v>
      </c>
      <c r="E167" s="603">
        <f t="shared" si="16"/>
        <v>296374.99999999994</v>
      </c>
      <c r="F167" s="603">
        <f>F168+F169</f>
        <v>274300.39999999997</v>
      </c>
      <c r="G167" s="603">
        <f>G168+G169</f>
        <v>0</v>
      </c>
      <c r="H167" s="603">
        <f>H168+H169</f>
        <v>22074.600000000002</v>
      </c>
      <c r="I167" s="603">
        <f>I168+I169</f>
        <v>0</v>
      </c>
      <c r="J167" s="1004" t="s">
        <v>104</v>
      </c>
      <c r="K167" s="1005" t="s">
        <v>2736</v>
      </c>
    </row>
    <row r="168" spans="1:12" outlineLevel="1">
      <c r="A168" s="1021"/>
      <c r="B168" s="1002"/>
      <c r="C168" s="1003"/>
      <c r="D168" s="602">
        <v>2019</v>
      </c>
      <c r="E168" s="603">
        <f>SUM(F168:I168)</f>
        <v>132689.9</v>
      </c>
      <c r="F168" s="610">
        <f t="shared" ref="F168:I169" si="17">F171+F174+F177+F180+F183+F186+F189+F192+F195+F198+F201+F207+F210+F213+F216+F204+F219+F222+F225</f>
        <v>125237.59999999999</v>
      </c>
      <c r="G168" s="610">
        <f t="shared" si="17"/>
        <v>0</v>
      </c>
      <c r="H168" s="610">
        <f t="shared" si="17"/>
        <v>7452.3</v>
      </c>
      <c r="I168" s="610">
        <f t="shared" si="17"/>
        <v>0</v>
      </c>
      <c r="J168" s="1004"/>
      <c r="K168" s="1005"/>
    </row>
    <row r="169" spans="1:12" outlineLevel="1">
      <c r="A169" s="1021"/>
      <c r="B169" s="1002"/>
      <c r="C169" s="1003"/>
      <c r="D169" s="602">
        <v>2020</v>
      </c>
      <c r="E169" s="603">
        <f t="shared" si="16"/>
        <v>163685.09999999998</v>
      </c>
      <c r="F169" s="610">
        <f t="shared" si="17"/>
        <v>149062.79999999999</v>
      </c>
      <c r="G169" s="610">
        <f t="shared" si="17"/>
        <v>0</v>
      </c>
      <c r="H169" s="610">
        <f t="shared" si="17"/>
        <v>14622.300000000001</v>
      </c>
      <c r="I169" s="610">
        <f t="shared" si="17"/>
        <v>0</v>
      </c>
      <c r="J169" s="1004"/>
      <c r="K169" s="1005"/>
    </row>
    <row r="170" spans="1:12" s="608" customFormat="1" outlineLevel="1">
      <c r="A170" s="762" t="s">
        <v>102</v>
      </c>
      <c r="B170" s="989" t="s">
        <v>2737</v>
      </c>
      <c r="C170" s="990" t="s">
        <v>2673</v>
      </c>
      <c r="D170" s="443" t="s">
        <v>8</v>
      </c>
      <c r="E170" s="13">
        <f t="shared" si="16"/>
        <v>11400</v>
      </c>
      <c r="F170" s="13">
        <f>F171+F172</f>
        <v>11400</v>
      </c>
      <c r="G170" s="13">
        <f>G171+G172</f>
        <v>0</v>
      </c>
      <c r="H170" s="13">
        <f>H171+H172</f>
        <v>0</v>
      </c>
      <c r="I170" s="13">
        <f>I171+I172</f>
        <v>0</v>
      </c>
      <c r="J170" s="825" t="s">
        <v>2738</v>
      </c>
      <c r="K170" s="824" t="s">
        <v>2739</v>
      </c>
    </row>
    <row r="171" spans="1:12" s="608" customFormat="1" outlineLevel="1">
      <c r="A171" s="762"/>
      <c r="B171" s="989"/>
      <c r="C171" s="990"/>
      <c r="D171" s="443">
        <v>2019</v>
      </c>
      <c r="E171" s="13">
        <f t="shared" si="16"/>
        <v>5400</v>
      </c>
      <c r="F171" s="13">
        <v>5400</v>
      </c>
      <c r="G171" s="625">
        <v>0</v>
      </c>
      <c r="H171" s="625">
        <v>0</v>
      </c>
      <c r="I171" s="625">
        <v>0</v>
      </c>
      <c r="J171" s="825"/>
      <c r="K171" s="824"/>
    </row>
    <row r="172" spans="1:12" s="608" customFormat="1" outlineLevel="1">
      <c r="A172" s="762"/>
      <c r="B172" s="989"/>
      <c r="C172" s="990"/>
      <c r="D172" s="443">
        <v>2020</v>
      </c>
      <c r="E172" s="13">
        <f t="shared" si="16"/>
        <v>6000</v>
      </c>
      <c r="F172" s="13">
        <v>6000</v>
      </c>
      <c r="G172" s="625">
        <v>0</v>
      </c>
      <c r="H172" s="625">
        <v>0</v>
      </c>
      <c r="I172" s="625">
        <v>0</v>
      </c>
      <c r="J172" s="825"/>
      <c r="K172" s="824"/>
    </row>
    <row r="173" spans="1:12" s="626" customFormat="1" ht="15" customHeight="1" outlineLevel="1">
      <c r="A173" s="985" t="s">
        <v>237</v>
      </c>
      <c r="B173" s="1000" t="s">
        <v>2740</v>
      </c>
      <c r="C173" s="985">
        <v>2019</v>
      </c>
      <c r="D173" s="613" t="s">
        <v>8</v>
      </c>
      <c r="E173" s="614">
        <f t="shared" si="16"/>
        <v>61252.6</v>
      </c>
      <c r="F173" s="614">
        <f>F174+F175</f>
        <v>58189.9</v>
      </c>
      <c r="G173" s="614">
        <f>G174+G175</f>
        <v>0</v>
      </c>
      <c r="H173" s="614">
        <f>H174+H175</f>
        <v>3062.7000000000003</v>
      </c>
      <c r="I173" s="614">
        <f>I174+I175</f>
        <v>0</v>
      </c>
      <c r="J173" s="1016" t="s">
        <v>2741</v>
      </c>
      <c r="K173" s="988" t="s">
        <v>2742</v>
      </c>
    </row>
    <row r="174" spans="1:12" s="626" customFormat="1" outlineLevel="1">
      <c r="A174" s="985"/>
      <c r="B174" s="1000"/>
      <c r="C174" s="985"/>
      <c r="D174" s="613">
        <v>2019</v>
      </c>
      <c r="E174" s="614">
        <f t="shared" si="16"/>
        <v>55755.100000000006</v>
      </c>
      <c r="F174" s="616">
        <v>52967.3</v>
      </c>
      <c r="G174" s="616">
        <v>0</v>
      </c>
      <c r="H174" s="616">
        <v>2787.8</v>
      </c>
      <c r="I174" s="616">
        <v>0</v>
      </c>
      <c r="J174" s="1016"/>
      <c r="K174" s="988"/>
    </row>
    <row r="175" spans="1:12" s="626" customFormat="1" ht="13.5" customHeight="1" outlineLevel="1">
      <c r="A175" s="985"/>
      <c r="B175" s="1000"/>
      <c r="C175" s="985"/>
      <c r="D175" s="613">
        <v>2020</v>
      </c>
      <c r="E175" s="614">
        <f t="shared" si="16"/>
        <v>5497.5</v>
      </c>
      <c r="F175" s="605">
        <v>5222.6000000000004</v>
      </c>
      <c r="G175" s="616">
        <v>0</v>
      </c>
      <c r="H175" s="623">
        <v>274.89999999999998</v>
      </c>
      <c r="I175" s="616">
        <v>0</v>
      </c>
      <c r="J175" s="1016"/>
      <c r="K175" s="988"/>
    </row>
    <row r="176" spans="1:12" s="626" customFormat="1" ht="17.100000000000001" customHeight="1" outlineLevel="1">
      <c r="A176" s="985" t="s">
        <v>238</v>
      </c>
      <c r="B176" s="1007" t="s">
        <v>2743</v>
      </c>
      <c r="C176" s="985">
        <v>2019</v>
      </c>
      <c r="D176" s="613" t="s">
        <v>8</v>
      </c>
      <c r="E176" s="614">
        <f t="shared" si="16"/>
        <v>10438.4</v>
      </c>
      <c r="F176" s="614">
        <f>F177+F178</f>
        <v>8747.4</v>
      </c>
      <c r="G176" s="614">
        <f>G177+G178</f>
        <v>0</v>
      </c>
      <c r="H176" s="618">
        <f>H177+H178</f>
        <v>1691</v>
      </c>
      <c r="I176" s="614">
        <f>I177+I178</f>
        <v>0</v>
      </c>
      <c r="J176" s="1016" t="s">
        <v>2744</v>
      </c>
      <c r="K176" s="988" t="s">
        <v>2745</v>
      </c>
    </row>
    <row r="177" spans="1:11" s="626" customFormat="1" ht="17.100000000000001" customHeight="1" outlineLevel="1">
      <c r="A177" s="985"/>
      <c r="B177" s="1007"/>
      <c r="C177" s="985"/>
      <c r="D177" s="613">
        <v>2019</v>
      </c>
      <c r="E177" s="614">
        <f t="shared" si="16"/>
        <v>10438.4</v>
      </c>
      <c r="F177" s="616">
        <v>8747.4</v>
      </c>
      <c r="G177" s="616">
        <v>0</v>
      </c>
      <c r="H177" s="619">
        <v>1691</v>
      </c>
      <c r="I177" s="616">
        <v>0</v>
      </c>
      <c r="J177" s="1016"/>
      <c r="K177" s="988"/>
    </row>
    <row r="178" spans="1:11" s="626" customFormat="1" ht="17.100000000000001" customHeight="1" outlineLevel="1">
      <c r="A178" s="985"/>
      <c r="B178" s="1007"/>
      <c r="C178" s="985"/>
      <c r="D178" s="613">
        <v>2020</v>
      </c>
      <c r="E178" s="614">
        <f t="shared" si="16"/>
        <v>0</v>
      </c>
      <c r="F178" s="605">
        <v>0</v>
      </c>
      <c r="G178" s="616">
        <v>0</v>
      </c>
      <c r="H178" s="623">
        <v>0</v>
      </c>
      <c r="I178" s="616">
        <v>0</v>
      </c>
      <c r="J178" s="1016"/>
      <c r="K178" s="988"/>
    </row>
    <row r="179" spans="1:11" s="622" customFormat="1" ht="17.100000000000001" customHeight="1" outlineLevel="1">
      <c r="A179" s="1017" t="s">
        <v>239</v>
      </c>
      <c r="B179" s="1018" t="s">
        <v>2746</v>
      </c>
      <c r="C179" s="985">
        <v>2019</v>
      </c>
      <c r="D179" s="613" t="s">
        <v>8</v>
      </c>
      <c r="E179" s="614">
        <f t="shared" si="16"/>
        <v>16367.8</v>
      </c>
      <c r="F179" s="614">
        <f>F180+F181</f>
        <v>15549.4</v>
      </c>
      <c r="G179" s="614">
        <f>G180+G181</f>
        <v>0</v>
      </c>
      <c r="H179" s="614">
        <f>H180+H181</f>
        <v>818.4</v>
      </c>
      <c r="I179" s="614">
        <f>I180+I181</f>
        <v>0</v>
      </c>
      <c r="J179" s="988" t="s">
        <v>2747</v>
      </c>
      <c r="K179" s="988" t="s">
        <v>2748</v>
      </c>
    </row>
    <row r="180" spans="1:11" s="622" customFormat="1" ht="17.100000000000001" customHeight="1" outlineLevel="1">
      <c r="A180" s="985"/>
      <c r="B180" s="1018"/>
      <c r="C180" s="985"/>
      <c r="D180" s="613">
        <v>2019</v>
      </c>
      <c r="E180" s="614">
        <f t="shared" si="16"/>
        <v>16367.8</v>
      </c>
      <c r="F180" s="616">
        <v>15549.4</v>
      </c>
      <c r="G180" s="616">
        <v>0</v>
      </c>
      <c r="H180" s="616">
        <v>818.4</v>
      </c>
      <c r="I180" s="616">
        <v>0</v>
      </c>
      <c r="J180" s="988"/>
      <c r="K180" s="988"/>
    </row>
    <row r="181" spans="1:11" s="627" customFormat="1" ht="17.100000000000001" customHeight="1" outlineLevel="1">
      <c r="A181" s="985"/>
      <c r="B181" s="1018"/>
      <c r="C181" s="985"/>
      <c r="D181" s="613">
        <v>2020</v>
      </c>
      <c r="E181" s="614">
        <f t="shared" si="16"/>
        <v>0</v>
      </c>
      <c r="F181" s="616">
        <v>0</v>
      </c>
      <c r="G181" s="616">
        <v>0</v>
      </c>
      <c r="H181" s="616">
        <v>0</v>
      </c>
      <c r="I181" s="616">
        <v>0</v>
      </c>
      <c r="J181" s="988"/>
      <c r="K181" s="988"/>
    </row>
    <row r="182" spans="1:11" s="2" customFormat="1" ht="14.25" customHeight="1" outlineLevel="1">
      <c r="A182" s="762" t="s">
        <v>240</v>
      </c>
      <c r="B182" s="989" t="s">
        <v>2749</v>
      </c>
      <c r="C182" s="762">
        <v>2019</v>
      </c>
      <c r="D182" s="443" t="s">
        <v>8</v>
      </c>
      <c r="E182" s="13">
        <f t="shared" si="16"/>
        <v>2139.3000000000002</v>
      </c>
      <c r="F182" s="13">
        <f>F183+F184</f>
        <v>2139.3000000000002</v>
      </c>
      <c r="G182" s="13">
        <f>G183+G184</f>
        <v>0</v>
      </c>
      <c r="H182" s="13">
        <f>H183+H184</f>
        <v>0</v>
      </c>
      <c r="I182" s="13">
        <f>I183+I184</f>
        <v>0</v>
      </c>
      <c r="J182" s="824" t="s">
        <v>2750</v>
      </c>
      <c r="K182" s="1016" t="s">
        <v>2751</v>
      </c>
    </row>
    <row r="183" spans="1:11" s="2" customFormat="1" outlineLevel="1">
      <c r="A183" s="762"/>
      <c r="B183" s="989"/>
      <c r="C183" s="762"/>
      <c r="D183" s="443">
        <v>2019</v>
      </c>
      <c r="E183" s="13">
        <f t="shared" si="16"/>
        <v>2139.3000000000002</v>
      </c>
      <c r="F183" s="604">
        <v>2139.3000000000002</v>
      </c>
      <c r="G183" s="604">
        <v>0</v>
      </c>
      <c r="H183" s="604">
        <v>0</v>
      </c>
      <c r="I183" s="604">
        <v>0</v>
      </c>
      <c r="J183" s="824"/>
      <c r="K183" s="1016"/>
    </row>
    <row r="184" spans="1:11" s="2" customFormat="1" outlineLevel="1">
      <c r="A184" s="762"/>
      <c r="B184" s="989"/>
      <c r="C184" s="762"/>
      <c r="D184" s="443">
        <v>2020</v>
      </c>
      <c r="E184" s="13">
        <f t="shared" si="16"/>
        <v>0</v>
      </c>
      <c r="F184" s="604">
        <v>0</v>
      </c>
      <c r="G184" s="604">
        <v>0</v>
      </c>
      <c r="H184" s="604">
        <v>0</v>
      </c>
      <c r="I184" s="604">
        <v>0</v>
      </c>
      <c r="J184" s="824"/>
      <c r="K184" s="1016"/>
    </row>
    <row r="185" spans="1:11" s="2" customFormat="1" ht="15" customHeight="1" outlineLevel="1">
      <c r="A185" s="762" t="s">
        <v>241</v>
      </c>
      <c r="B185" s="989" t="s">
        <v>2752</v>
      </c>
      <c r="C185" s="762">
        <v>2019</v>
      </c>
      <c r="D185" s="443" t="s">
        <v>8</v>
      </c>
      <c r="E185" s="13">
        <f t="shared" si="16"/>
        <v>213.2</v>
      </c>
      <c r="F185" s="13">
        <f>F186+F187</f>
        <v>213.2</v>
      </c>
      <c r="G185" s="13">
        <f>G186+G187</f>
        <v>0</v>
      </c>
      <c r="H185" s="13">
        <f>H186+H187</f>
        <v>0</v>
      </c>
      <c r="I185" s="13">
        <f>I186+I187</f>
        <v>0</v>
      </c>
      <c r="J185" s="824" t="s">
        <v>2753</v>
      </c>
      <c r="K185" s="824" t="s">
        <v>2754</v>
      </c>
    </row>
    <row r="186" spans="1:11" s="2" customFormat="1" outlineLevel="1">
      <c r="A186" s="762"/>
      <c r="B186" s="989"/>
      <c r="C186" s="762"/>
      <c r="D186" s="443">
        <v>2019</v>
      </c>
      <c r="E186" s="13">
        <f t="shared" ref="E186:E249" si="18">SUM(F186:I186)</f>
        <v>213.2</v>
      </c>
      <c r="F186" s="604">
        <v>213.2</v>
      </c>
      <c r="G186" s="604">
        <v>0</v>
      </c>
      <c r="H186" s="604">
        <v>0</v>
      </c>
      <c r="I186" s="604">
        <v>0</v>
      </c>
      <c r="J186" s="824"/>
      <c r="K186" s="824"/>
    </row>
    <row r="187" spans="1:11" s="2" customFormat="1" outlineLevel="1">
      <c r="A187" s="762"/>
      <c r="B187" s="989"/>
      <c r="C187" s="762"/>
      <c r="D187" s="443">
        <v>2020</v>
      </c>
      <c r="E187" s="13">
        <f t="shared" si="18"/>
        <v>0</v>
      </c>
      <c r="F187" s="604">
        <v>0</v>
      </c>
      <c r="G187" s="604">
        <v>0</v>
      </c>
      <c r="H187" s="604">
        <v>0</v>
      </c>
      <c r="I187" s="604">
        <v>0</v>
      </c>
      <c r="J187" s="824"/>
      <c r="K187" s="824"/>
    </row>
    <row r="188" spans="1:11" s="620" customFormat="1" ht="15" customHeight="1" outlineLevel="1">
      <c r="A188" s="997" t="s">
        <v>242</v>
      </c>
      <c r="B188" s="998" t="s">
        <v>2755</v>
      </c>
      <c r="C188" s="997">
        <v>2019</v>
      </c>
      <c r="D188" s="37" t="s">
        <v>8</v>
      </c>
      <c r="E188" s="611">
        <f t="shared" si="18"/>
        <v>10105.299999999999</v>
      </c>
      <c r="F188" s="611">
        <f>F189+F190</f>
        <v>9600</v>
      </c>
      <c r="G188" s="611">
        <f>G189+G190</f>
        <v>0</v>
      </c>
      <c r="H188" s="611">
        <f>H189+H190</f>
        <v>505.3</v>
      </c>
      <c r="I188" s="611">
        <f>I189+I190</f>
        <v>0</v>
      </c>
      <c r="J188" s="944" t="s">
        <v>2756</v>
      </c>
      <c r="K188" s="944" t="s">
        <v>2725</v>
      </c>
    </row>
    <row r="189" spans="1:11" s="620" customFormat="1" outlineLevel="1">
      <c r="A189" s="997"/>
      <c r="B189" s="998"/>
      <c r="C189" s="997"/>
      <c r="D189" s="37">
        <v>2019</v>
      </c>
      <c r="E189" s="611">
        <f t="shared" si="18"/>
        <v>10105.299999999999</v>
      </c>
      <c r="F189" s="612">
        <v>9600</v>
      </c>
      <c r="G189" s="612">
        <v>0</v>
      </c>
      <c r="H189" s="612">
        <v>505.3</v>
      </c>
      <c r="I189" s="612">
        <v>0</v>
      </c>
      <c r="J189" s="944"/>
      <c r="K189" s="944"/>
    </row>
    <row r="190" spans="1:11" s="620" customFormat="1" outlineLevel="1">
      <c r="A190" s="997"/>
      <c r="B190" s="998"/>
      <c r="C190" s="997"/>
      <c r="D190" s="37">
        <v>2020</v>
      </c>
      <c r="E190" s="611">
        <f t="shared" si="18"/>
        <v>0</v>
      </c>
      <c r="F190" s="612">
        <v>0</v>
      </c>
      <c r="G190" s="612">
        <v>0</v>
      </c>
      <c r="H190" s="612">
        <v>0</v>
      </c>
      <c r="I190" s="612">
        <v>0</v>
      </c>
      <c r="J190" s="944"/>
      <c r="K190" s="944"/>
    </row>
    <row r="191" spans="1:11" s="608" customFormat="1" ht="15" customHeight="1" outlineLevel="1">
      <c r="A191" s="762" t="s">
        <v>243</v>
      </c>
      <c r="B191" s="989" t="s">
        <v>2757</v>
      </c>
      <c r="C191" s="762">
        <v>2019</v>
      </c>
      <c r="D191" s="443" t="s">
        <v>8</v>
      </c>
      <c r="E191" s="13">
        <f t="shared" si="18"/>
        <v>19544.5</v>
      </c>
      <c r="F191" s="13">
        <f>F192+F193</f>
        <v>18567.3</v>
      </c>
      <c r="G191" s="13">
        <f>G192+G193</f>
        <v>0</v>
      </c>
      <c r="H191" s="13">
        <f>H192+H193</f>
        <v>977.2</v>
      </c>
      <c r="I191" s="13">
        <f>I192+I193</f>
        <v>0</v>
      </c>
      <c r="J191" s="824" t="s">
        <v>2758</v>
      </c>
      <c r="K191" s="824" t="s">
        <v>2725</v>
      </c>
    </row>
    <row r="192" spans="1:11" s="608" customFormat="1" outlineLevel="1">
      <c r="A192" s="762"/>
      <c r="B192" s="989"/>
      <c r="C192" s="762"/>
      <c r="D192" s="443">
        <v>2019</v>
      </c>
      <c r="E192" s="13">
        <f t="shared" si="18"/>
        <v>19544.5</v>
      </c>
      <c r="F192" s="628">
        <v>18567.3</v>
      </c>
      <c r="G192" s="604">
        <v>0</v>
      </c>
      <c r="H192" s="612">
        <v>977.2</v>
      </c>
      <c r="I192" s="604">
        <v>0</v>
      </c>
      <c r="J192" s="824"/>
      <c r="K192" s="824"/>
    </row>
    <row r="193" spans="1:11" s="608" customFormat="1" outlineLevel="1">
      <c r="A193" s="762"/>
      <c r="B193" s="989"/>
      <c r="C193" s="762"/>
      <c r="D193" s="443">
        <v>2020</v>
      </c>
      <c r="E193" s="13">
        <f t="shared" si="18"/>
        <v>0</v>
      </c>
      <c r="F193" s="604">
        <v>0</v>
      </c>
      <c r="G193" s="604">
        <v>0</v>
      </c>
      <c r="H193" s="604">
        <v>0</v>
      </c>
      <c r="I193" s="604">
        <v>0</v>
      </c>
      <c r="J193" s="824"/>
      <c r="K193" s="824"/>
    </row>
    <row r="194" spans="1:11" s="608" customFormat="1" ht="15" customHeight="1" outlineLevel="1">
      <c r="A194" s="762" t="s">
        <v>244</v>
      </c>
      <c r="B194" s="989" t="s">
        <v>2759</v>
      </c>
      <c r="C194" s="762">
        <v>2019</v>
      </c>
      <c r="D194" s="443" t="s">
        <v>8</v>
      </c>
      <c r="E194" s="13">
        <f t="shared" si="18"/>
        <v>12692.5</v>
      </c>
      <c r="F194" s="13">
        <f>F195+F196</f>
        <v>12019.9</v>
      </c>
      <c r="G194" s="13">
        <f>G195+G196</f>
        <v>0</v>
      </c>
      <c r="H194" s="13">
        <f>H195+H196</f>
        <v>672.6</v>
      </c>
      <c r="I194" s="13">
        <f>I195+I196</f>
        <v>0</v>
      </c>
      <c r="J194" s="824" t="s">
        <v>2760</v>
      </c>
      <c r="K194" s="824" t="s">
        <v>2725</v>
      </c>
    </row>
    <row r="195" spans="1:11" s="608" customFormat="1" outlineLevel="1">
      <c r="A195" s="762"/>
      <c r="B195" s="989"/>
      <c r="C195" s="762"/>
      <c r="D195" s="443">
        <v>2019</v>
      </c>
      <c r="E195" s="13">
        <f t="shared" si="18"/>
        <v>12692.5</v>
      </c>
      <c r="F195" s="628">
        <v>12019.9</v>
      </c>
      <c r="G195" s="604">
        <v>0</v>
      </c>
      <c r="H195" s="612">
        <v>672.6</v>
      </c>
      <c r="I195" s="604">
        <v>0</v>
      </c>
      <c r="J195" s="824"/>
      <c r="K195" s="824"/>
    </row>
    <row r="196" spans="1:11" s="608" customFormat="1" outlineLevel="1">
      <c r="A196" s="762"/>
      <c r="B196" s="989"/>
      <c r="C196" s="762"/>
      <c r="D196" s="443">
        <v>2020</v>
      </c>
      <c r="E196" s="13">
        <f t="shared" si="18"/>
        <v>0</v>
      </c>
      <c r="F196" s="604">
        <v>0</v>
      </c>
      <c r="G196" s="604">
        <v>0</v>
      </c>
      <c r="H196" s="604">
        <v>0</v>
      </c>
      <c r="I196" s="604">
        <v>0</v>
      </c>
      <c r="J196" s="824"/>
      <c r="K196" s="824"/>
    </row>
    <row r="197" spans="1:11" s="608" customFormat="1" ht="14.25" customHeight="1" outlineLevel="1">
      <c r="A197" s="762" t="s">
        <v>245</v>
      </c>
      <c r="B197" s="989" t="s">
        <v>2761</v>
      </c>
      <c r="C197" s="762" t="s">
        <v>2673</v>
      </c>
      <c r="D197" s="443" t="s">
        <v>8</v>
      </c>
      <c r="E197" s="13">
        <f t="shared" si="18"/>
        <v>70.3</v>
      </c>
      <c r="F197" s="13">
        <f>F198+F199</f>
        <v>70.3</v>
      </c>
      <c r="G197" s="13">
        <f>G198+G199</f>
        <v>0</v>
      </c>
      <c r="H197" s="13">
        <f>H198+H199</f>
        <v>0</v>
      </c>
      <c r="I197" s="13">
        <f>I198+I199</f>
        <v>0</v>
      </c>
      <c r="J197" s="824" t="s">
        <v>2762</v>
      </c>
      <c r="K197" s="824" t="s">
        <v>2763</v>
      </c>
    </row>
    <row r="198" spans="1:11" s="608" customFormat="1" outlineLevel="1">
      <c r="A198" s="762"/>
      <c r="B198" s="989"/>
      <c r="C198" s="762"/>
      <c r="D198" s="443">
        <v>2019</v>
      </c>
      <c r="E198" s="13">
        <f t="shared" si="18"/>
        <v>33.799999999999997</v>
      </c>
      <c r="F198" s="604">
        <v>33.799999999999997</v>
      </c>
      <c r="G198" s="604">
        <v>0</v>
      </c>
      <c r="H198" s="604">
        <v>0</v>
      </c>
      <c r="I198" s="604">
        <v>0</v>
      </c>
      <c r="J198" s="824"/>
      <c r="K198" s="824"/>
    </row>
    <row r="199" spans="1:11" s="608" customFormat="1" outlineLevel="1">
      <c r="A199" s="762"/>
      <c r="B199" s="989"/>
      <c r="C199" s="762"/>
      <c r="D199" s="443">
        <v>2020</v>
      </c>
      <c r="E199" s="13">
        <f t="shared" si="18"/>
        <v>36.5</v>
      </c>
      <c r="F199" s="604">
        <v>36.5</v>
      </c>
      <c r="G199" s="604">
        <v>0</v>
      </c>
      <c r="H199" s="604">
        <v>0</v>
      </c>
      <c r="I199" s="604">
        <v>0</v>
      </c>
      <c r="J199" s="824"/>
      <c r="K199" s="824"/>
    </row>
    <row r="200" spans="1:11" s="608" customFormat="1" ht="14.25" customHeight="1" outlineLevel="1">
      <c r="A200" s="762" t="s">
        <v>246</v>
      </c>
      <c r="B200" s="989" t="s">
        <v>2764</v>
      </c>
      <c r="C200" s="762">
        <v>2020</v>
      </c>
      <c r="D200" s="443" t="s">
        <v>8</v>
      </c>
      <c r="E200" s="13">
        <f t="shared" si="18"/>
        <v>8112</v>
      </c>
      <c r="F200" s="13">
        <f>F201+F202</f>
        <v>8112</v>
      </c>
      <c r="G200" s="13">
        <f>G201+G202</f>
        <v>0</v>
      </c>
      <c r="H200" s="13">
        <f>H201+H202</f>
        <v>0</v>
      </c>
      <c r="I200" s="13">
        <f>I201+I202</f>
        <v>0</v>
      </c>
      <c r="J200" s="824" t="s">
        <v>2765</v>
      </c>
      <c r="K200" s="824" t="s">
        <v>2674</v>
      </c>
    </row>
    <row r="201" spans="1:11" s="608" customFormat="1" outlineLevel="1">
      <c r="A201" s="762"/>
      <c r="B201" s="989"/>
      <c r="C201" s="762"/>
      <c r="D201" s="443">
        <v>2019</v>
      </c>
      <c r="E201" s="13">
        <f t="shared" si="18"/>
        <v>0</v>
      </c>
      <c r="F201" s="604">
        <v>0</v>
      </c>
      <c r="G201" s="604">
        <v>0</v>
      </c>
      <c r="H201" s="604">
        <v>0</v>
      </c>
      <c r="I201" s="604">
        <v>0</v>
      </c>
      <c r="J201" s="824"/>
      <c r="K201" s="824"/>
    </row>
    <row r="202" spans="1:11" s="608" customFormat="1" outlineLevel="1">
      <c r="A202" s="762"/>
      <c r="B202" s="989"/>
      <c r="C202" s="762"/>
      <c r="D202" s="443">
        <v>2020</v>
      </c>
      <c r="E202" s="13">
        <f t="shared" si="18"/>
        <v>8112</v>
      </c>
      <c r="F202" s="605">
        <f>6653+1459</f>
        <v>8112</v>
      </c>
      <c r="G202" s="604">
        <v>0</v>
      </c>
      <c r="H202" s="604">
        <v>0</v>
      </c>
      <c r="I202" s="604">
        <v>0</v>
      </c>
      <c r="J202" s="824"/>
      <c r="K202" s="824"/>
    </row>
    <row r="203" spans="1:11" s="608" customFormat="1" outlineLevel="1">
      <c r="A203" s="1010" t="s">
        <v>249</v>
      </c>
      <c r="B203" s="989" t="s">
        <v>2719</v>
      </c>
      <c r="C203" s="762">
        <v>2020</v>
      </c>
      <c r="D203" s="443" t="s">
        <v>8</v>
      </c>
      <c r="E203" s="13">
        <f>SUM(F203:I203)</f>
        <v>4646.1000000000004</v>
      </c>
      <c r="F203" s="13">
        <f>F204+F205</f>
        <v>4646.1000000000004</v>
      </c>
      <c r="G203" s="13">
        <f>G204+G205</f>
        <v>0</v>
      </c>
      <c r="H203" s="13">
        <f>H204+H205</f>
        <v>0</v>
      </c>
      <c r="I203" s="13">
        <f>I204+I205</f>
        <v>0</v>
      </c>
      <c r="J203" s="824" t="s">
        <v>2766</v>
      </c>
      <c r="K203" s="824" t="s">
        <v>2691</v>
      </c>
    </row>
    <row r="204" spans="1:11" s="608" customFormat="1" outlineLevel="1">
      <c r="A204" s="1011"/>
      <c r="B204" s="989"/>
      <c r="C204" s="762"/>
      <c r="D204" s="443">
        <v>2019</v>
      </c>
      <c r="E204" s="13">
        <f>SUM(F204:I204)</f>
        <v>0</v>
      </c>
      <c r="F204" s="604">
        <v>0</v>
      </c>
      <c r="G204" s="604">
        <v>0</v>
      </c>
      <c r="H204" s="604">
        <v>0</v>
      </c>
      <c r="I204" s="604">
        <v>0</v>
      </c>
      <c r="J204" s="824"/>
      <c r="K204" s="824"/>
    </row>
    <row r="205" spans="1:11" s="608" customFormat="1" outlineLevel="1">
      <c r="A205" s="1012"/>
      <c r="B205" s="989"/>
      <c r="C205" s="762"/>
      <c r="D205" s="443">
        <v>2020</v>
      </c>
      <c r="E205" s="13">
        <f>SUM(F205:I205)</f>
        <v>4646.1000000000004</v>
      </c>
      <c r="F205" s="604">
        <v>4646.1000000000004</v>
      </c>
      <c r="G205" s="604">
        <v>0</v>
      </c>
      <c r="H205" s="604">
        <v>0</v>
      </c>
      <c r="I205" s="604">
        <v>0</v>
      </c>
      <c r="J205" s="824"/>
      <c r="K205" s="824"/>
    </row>
    <row r="206" spans="1:11" s="608" customFormat="1" ht="14.25" customHeight="1" outlineLevel="1">
      <c r="A206" s="1010" t="s">
        <v>250</v>
      </c>
      <c r="B206" s="989" t="s">
        <v>2767</v>
      </c>
      <c r="C206" s="762">
        <v>2020</v>
      </c>
      <c r="D206" s="443" t="s">
        <v>8</v>
      </c>
      <c r="E206" s="13">
        <f t="shared" si="18"/>
        <v>1445.5</v>
      </c>
      <c r="F206" s="13">
        <f>F207+F208</f>
        <v>1445.5</v>
      </c>
      <c r="G206" s="13">
        <f>G207+G208</f>
        <v>0</v>
      </c>
      <c r="H206" s="13">
        <f>H207+H208</f>
        <v>0</v>
      </c>
      <c r="I206" s="13">
        <f>I207+I208</f>
        <v>0</v>
      </c>
      <c r="J206" s="824" t="s">
        <v>2768</v>
      </c>
      <c r="K206" s="824" t="s">
        <v>2769</v>
      </c>
    </row>
    <row r="207" spans="1:11" s="608" customFormat="1" outlineLevel="1">
      <c r="A207" s="1011"/>
      <c r="B207" s="989"/>
      <c r="C207" s="762"/>
      <c r="D207" s="443">
        <v>2019</v>
      </c>
      <c r="E207" s="13">
        <f t="shared" si="18"/>
        <v>0</v>
      </c>
      <c r="F207" s="604">
        <v>0</v>
      </c>
      <c r="G207" s="604">
        <v>0</v>
      </c>
      <c r="H207" s="604">
        <v>0</v>
      </c>
      <c r="I207" s="604">
        <v>0</v>
      </c>
      <c r="J207" s="824"/>
      <c r="K207" s="824"/>
    </row>
    <row r="208" spans="1:11" s="608" customFormat="1" outlineLevel="1">
      <c r="A208" s="1012"/>
      <c r="B208" s="989"/>
      <c r="C208" s="762"/>
      <c r="D208" s="443">
        <v>2020</v>
      </c>
      <c r="E208" s="13">
        <f t="shared" si="18"/>
        <v>1445.5</v>
      </c>
      <c r="F208" s="604">
        <v>1445.5</v>
      </c>
      <c r="G208" s="604">
        <v>0</v>
      </c>
      <c r="H208" s="604">
        <v>0</v>
      </c>
      <c r="I208" s="604">
        <v>0</v>
      </c>
      <c r="J208" s="824"/>
      <c r="K208" s="824"/>
    </row>
    <row r="209" spans="1:12" s="622" customFormat="1" ht="14.25" customHeight="1" outlineLevel="1">
      <c r="A209" s="1013" t="s">
        <v>251</v>
      </c>
      <c r="B209" s="1000" t="s">
        <v>2770</v>
      </c>
      <c r="C209" s="985">
        <v>2020</v>
      </c>
      <c r="D209" s="613" t="s">
        <v>8</v>
      </c>
      <c r="E209" s="614">
        <f t="shared" si="18"/>
        <v>8895.1</v>
      </c>
      <c r="F209" s="614">
        <f>F210+F211</f>
        <v>8445.1</v>
      </c>
      <c r="G209" s="614">
        <f>G210+G211</f>
        <v>0</v>
      </c>
      <c r="H209" s="614">
        <f>H210+H211</f>
        <v>450</v>
      </c>
      <c r="I209" s="614">
        <f>I210+I211</f>
        <v>0</v>
      </c>
      <c r="J209" s="988" t="s">
        <v>2771</v>
      </c>
      <c r="K209" s="988" t="s">
        <v>2772</v>
      </c>
    </row>
    <row r="210" spans="1:12" s="622" customFormat="1" outlineLevel="1">
      <c r="A210" s="1014"/>
      <c r="B210" s="1000"/>
      <c r="C210" s="985"/>
      <c r="D210" s="613">
        <v>2019</v>
      </c>
      <c r="E210" s="614">
        <f t="shared" si="18"/>
        <v>0</v>
      </c>
      <c r="F210" s="616">
        <v>0</v>
      </c>
      <c r="G210" s="616">
        <v>0</v>
      </c>
      <c r="H210" s="616">
        <v>0</v>
      </c>
      <c r="I210" s="616">
        <v>0</v>
      </c>
      <c r="J210" s="988"/>
      <c r="K210" s="988"/>
    </row>
    <row r="211" spans="1:12" s="622" customFormat="1" outlineLevel="1">
      <c r="A211" s="1015"/>
      <c r="B211" s="1000"/>
      <c r="C211" s="985"/>
      <c r="D211" s="613">
        <v>2020</v>
      </c>
      <c r="E211" s="614">
        <f t="shared" si="18"/>
        <v>8895.1</v>
      </c>
      <c r="F211" s="616">
        <v>8445.1</v>
      </c>
      <c r="G211" s="616">
        <v>0</v>
      </c>
      <c r="H211" s="619">
        <v>450</v>
      </c>
      <c r="I211" s="616">
        <v>0</v>
      </c>
      <c r="J211" s="988"/>
      <c r="K211" s="988"/>
    </row>
    <row r="212" spans="1:12" s="622" customFormat="1" ht="14.25" customHeight="1" outlineLevel="1">
      <c r="A212" s="985" t="s">
        <v>254</v>
      </c>
      <c r="B212" s="1000" t="s">
        <v>2773</v>
      </c>
      <c r="C212" s="985">
        <v>2020</v>
      </c>
      <c r="D212" s="613" t="s">
        <v>8</v>
      </c>
      <c r="E212" s="614">
        <f t="shared" si="18"/>
        <v>9314.4000000000015</v>
      </c>
      <c r="F212" s="614">
        <f>F213+F214</f>
        <v>8848.7000000000007</v>
      </c>
      <c r="G212" s="614">
        <f>G213+G214</f>
        <v>0</v>
      </c>
      <c r="H212" s="618">
        <f>H213+H214</f>
        <v>465.7</v>
      </c>
      <c r="I212" s="614">
        <f>I213+I214</f>
        <v>0</v>
      </c>
      <c r="J212" s="988" t="s">
        <v>2774</v>
      </c>
      <c r="K212" s="988" t="s">
        <v>2775</v>
      </c>
    </row>
    <row r="213" spans="1:12" s="622" customFormat="1" outlineLevel="1">
      <c r="A213" s="985"/>
      <c r="B213" s="1000"/>
      <c r="C213" s="985"/>
      <c r="D213" s="613">
        <v>2019</v>
      </c>
      <c r="E213" s="614">
        <f t="shared" si="18"/>
        <v>0</v>
      </c>
      <c r="F213" s="616">
        <v>0</v>
      </c>
      <c r="G213" s="616">
        <v>0</v>
      </c>
      <c r="H213" s="619">
        <v>0</v>
      </c>
      <c r="I213" s="616">
        <v>0</v>
      </c>
      <c r="J213" s="988"/>
      <c r="K213" s="988"/>
    </row>
    <row r="214" spans="1:12" s="622" customFormat="1" outlineLevel="1">
      <c r="A214" s="985"/>
      <c r="B214" s="1000"/>
      <c r="C214" s="985"/>
      <c r="D214" s="613">
        <v>2020</v>
      </c>
      <c r="E214" s="614">
        <f t="shared" si="18"/>
        <v>9314.4000000000015</v>
      </c>
      <c r="F214" s="616">
        <v>8848.7000000000007</v>
      </c>
      <c r="G214" s="616">
        <v>0</v>
      </c>
      <c r="H214" s="619">
        <v>465.7</v>
      </c>
      <c r="I214" s="616">
        <v>0</v>
      </c>
      <c r="J214" s="988"/>
      <c r="K214" s="988"/>
    </row>
    <row r="215" spans="1:12" s="622" customFormat="1" ht="14.25" customHeight="1" outlineLevel="1">
      <c r="A215" s="985" t="s">
        <v>258</v>
      </c>
      <c r="B215" s="1000" t="s">
        <v>2776</v>
      </c>
      <c r="C215" s="985">
        <v>2020</v>
      </c>
      <c r="D215" s="613" t="s">
        <v>8</v>
      </c>
      <c r="E215" s="614">
        <f t="shared" si="18"/>
        <v>14529.1</v>
      </c>
      <c r="F215" s="614">
        <f>F216+F217</f>
        <v>13802.6</v>
      </c>
      <c r="G215" s="614">
        <f>G216+G217</f>
        <v>0</v>
      </c>
      <c r="H215" s="618">
        <f>H216+H217</f>
        <v>726.5</v>
      </c>
      <c r="I215" s="614">
        <f>I216+I217</f>
        <v>0</v>
      </c>
      <c r="J215" s="988" t="s">
        <v>2777</v>
      </c>
      <c r="K215" s="988" t="s">
        <v>2775</v>
      </c>
    </row>
    <row r="216" spans="1:12" s="622" customFormat="1" outlineLevel="1">
      <c r="A216" s="985"/>
      <c r="B216" s="1000"/>
      <c r="C216" s="985"/>
      <c r="D216" s="613">
        <v>2019</v>
      </c>
      <c r="E216" s="614">
        <f t="shared" si="18"/>
        <v>0</v>
      </c>
      <c r="F216" s="616">
        <v>0</v>
      </c>
      <c r="G216" s="616">
        <v>0</v>
      </c>
      <c r="H216" s="619">
        <v>0</v>
      </c>
      <c r="I216" s="616">
        <v>0</v>
      </c>
      <c r="J216" s="988"/>
      <c r="K216" s="988"/>
    </row>
    <row r="217" spans="1:12" s="622" customFormat="1" outlineLevel="1">
      <c r="A217" s="985"/>
      <c r="B217" s="1000"/>
      <c r="C217" s="985"/>
      <c r="D217" s="613">
        <v>2020</v>
      </c>
      <c r="E217" s="614">
        <f t="shared" si="18"/>
        <v>14529.1</v>
      </c>
      <c r="F217" s="616">
        <v>13802.6</v>
      </c>
      <c r="G217" s="616">
        <v>0</v>
      </c>
      <c r="H217" s="619">
        <v>726.5</v>
      </c>
      <c r="I217" s="616">
        <v>0</v>
      </c>
      <c r="J217" s="988"/>
      <c r="K217" s="988"/>
    </row>
    <row r="218" spans="1:12" s="622" customFormat="1" outlineLevel="1">
      <c r="A218" s="1006" t="s">
        <v>261</v>
      </c>
      <c r="B218" s="1000" t="s">
        <v>2778</v>
      </c>
      <c r="C218" s="985">
        <v>2020</v>
      </c>
      <c r="D218" s="613" t="s">
        <v>8</v>
      </c>
      <c r="E218" s="614">
        <f t="shared" si="18"/>
        <v>39811.5</v>
      </c>
      <c r="F218" s="614">
        <f>F219+F220</f>
        <v>30376.2</v>
      </c>
      <c r="G218" s="614">
        <f>G219+G220</f>
        <v>0</v>
      </c>
      <c r="H218" s="618">
        <f>H219+H220</f>
        <v>9435.2999999999993</v>
      </c>
      <c r="I218" s="614">
        <f>I219+I220</f>
        <v>0</v>
      </c>
      <c r="J218" s="1009" t="s">
        <v>2779</v>
      </c>
      <c r="K218" s="988" t="s">
        <v>2780</v>
      </c>
    </row>
    <row r="219" spans="1:12" s="622" customFormat="1" outlineLevel="1">
      <c r="A219" s="1006"/>
      <c r="B219" s="1000"/>
      <c r="C219" s="985"/>
      <c r="D219" s="613">
        <v>2019</v>
      </c>
      <c r="E219" s="614">
        <f t="shared" si="18"/>
        <v>0</v>
      </c>
      <c r="F219" s="616">
        <v>0</v>
      </c>
      <c r="G219" s="616">
        <v>0</v>
      </c>
      <c r="H219" s="619">
        <v>0</v>
      </c>
      <c r="I219" s="616">
        <v>0</v>
      </c>
      <c r="J219" s="1009"/>
      <c r="K219" s="988"/>
      <c r="L219" s="624"/>
    </row>
    <row r="220" spans="1:12" s="622" customFormat="1" outlineLevel="1">
      <c r="A220" s="1006"/>
      <c r="B220" s="1000"/>
      <c r="C220" s="985"/>
      <c r="D220" s="613">
        <v>2020</v>
      </c>
      <c r="E220" s="614">
        <f t="shared" si="18"/>
        <v>39811.5</v>
      </c>
      <c r="F220" s="605">
        <v>30376.2</v>
      </c>
      <c r="G220" s="616">
        <v>0</v>
      </c>
      <c r="H220" s="619">
        <v>9435.2999999999993</v>
      </c>
      <c r="I220" s="616">
        <v>0</v>
      </c>
      <c r="J220" s="1009"/>
      <c r="K220" s="988"/>
    </row>
    <row r="221" spans="1:12" s="622" customFormat="1" ht="15" customHeight="1" outlineLevel="1">
      <c r="A221" s="1006" t="s">
        <v>264</v>
      </c>
      <c r="B221" s="1007" t="s">
        <v>2781</v>
      </c>
      <c r="C221" s="985">
        <v>2020</v>
      </c>
      <c r="D221" s="613" t="s">
        <v>8</v>
      </c>
      <c r="E221" s="614">
        <f t="shared" si="18"/>
        <v>56397.4</v>
      </c>
      <c r="F221" s="614">
        <f>F222+F223</f>
        <v>53577.5</v>
      </c>
      <c r="G221" s="614">
        <f>G222+G223</f>
        <v>0</v>
      </c>
      <c r="H221" s="618">
        <f>H222+H223</f>
        <v>2819.9000000000015</v>
      </c>
      <c r="I221" s="614">
        <f>I222+I223</f>
        <v>0</v>
      </c>
      <c r="J221" s="1009" t="s">
        <v>2782</v>
      </c>
      <c r="K221" s="988" t="s">
        <v>2780</v>
      </c>
    </row>
    <row r="222" spans="1:12" s="622" customFormat="1" outlineLevel="1">
      <c r="A222" s="1006"/>
      <c r="B222" s="1007"/>
      <c r="C222" s="985"/>
      <c r="D222" s="613">
        <v>2019</v>
      </c>
      <c r="E222" s="614">
        <f t="shared" si="18"/>
        <v>0</v>
      </c>
      <c r="F222" s="616">
        <v>0</v>
      </c>
      <c r="G222" s="616">
        <v>0</v>
      </c>
      <c r="H222" s="619">
        <v>0</v>
      </c>
      <c r="I222" s="616">
        <v>0</v>
      </c>
      <c r="J222" s="1009"/>
      <c r="K222" s="988"/>
      <c r="L222" s="624"/>
    </row>
    <row r="223" spans="1:12" s="622" customFormat="1" outlineLevel="1">
      <c r="A223" s="1006"/>
      <c r="B223" s="1007"/>
      <c r="C223" s="985"/>
      <c r="D223" s="613">
        <v>2020</v>
      </c>
      <c r="E223" s="614">
        <f t="shared" si="18"/>
        <v>56397.4</v>
      </c>
      <c r="F223" s="605">
        <v>53577.5</v>
      </c>
      <c r="G223" s="616">
        <v>0</v>
      </c>
      <c r="H223" s="623">
        <v>2819.9000000000015</v>
      </c>
      <c r="I223" s="616">
        <v>0</v>
      </c>
      <c r="J223" s="1009"/>
      <c r="K223" s="988"/>
    </row>
    <row r="224" spans="1:12" s="622" customFormat="1" outlineLevel="1">
      <c r="A224" s="1006" t="s">
        <v>684</v>
      </c>
      <c r="B224" s="1007" t="s">
        <v>2783</v>
      </c>
      <c r="C224" s="985">
        <v>2020</v>
      </c>
      <c r="D224" s="613" t="s">
        <v>8</v>
      </c>
      <c r="E224" s="614">
        <f>SUM(F224:I224)</f>
        <v>9000</v>
      </c>
      <c r="F224" s="614">
        <f>F225+F226</f>
        <v>8550</v>
      </c>
      <c r="G224" s="614">
        <f>G225+G226</f>
        <v>0</v>
      </c>
      <c r="H224" s="618">
        <f>H225+H226</f>
        <v>450</v>
      </c>
      <c r="I224" s="614">
        <f>I225+I226</f>
        <v>0</v>
      </c>
      <c r="J224" s="1008" t="s">
        <v>2784</v>
      </c>
      <c r="K224" s="988" t="s">
        <v>2780</v>
      </c>
    </row>
    <row r="225" spans="1:11" s="622" customFormat="1" outlineLevel="1">
      <c r="A225" s="1006"/>
      <c r="B225" s="1007"/>
      <c r="C225" s="985"/>
      <c r="D225" s="613">
        <v>2019</v>
      </c>
      <c r="E225" s="614">
        <v>0</v>
      </c>
      <c r="F225" s="616">
        <v>0</v>
      </c>
      <c r="G225" s="616">
        <v>0</v>
      </c>
      <c r="H225" s="619">
        <v>0</v>
      </c>
      <c r="I225" s="616">
        <v>0</v>
      </c>
      <c r="J225" s="1008"/>
      <c r="K225" s="988"/>
    </row>
    <row r="226" spans="1:11" s="622" customFormat="1" outlineLevel="1">
      <c r="A226" s="1006"/>
      <c r="B226" s="1007"/>
      <c r="C226" s="985"/>
      <c r="D226" s="613">
        <v>2020</v>
      </c>
      <c r="E226" s="614">
        <v>9000</v>
      </c>
      <c r="F226" s="605">
        <v>8550</v>
      </c>
      <c r="G226" s="616">
        <v>0</v>
      </c>
      <c r="H226" s="623">
        <v>450</v>
      </c>
      <c r="I226" s="616">
        <v>0</v>
      </c>
      <c r="J226" s="1008"/>
      <c r="K226" s="988"/>
    </row>
    <row r="227" spans="1:11" s="622" customFormat="1" outlineLevel="1">
      <c r="A227" s="1001" t="s">
        <v>296</v>
      </c>
      <c r="B227" s="1002" t="s">
        <v>2785</v>
      </c>
      <c r="C227" s="1003" t="s">
        <v>2673</v>
      </c>
      <c r="D227" s="602" t="s">
        <v>8</v>
      </c>
      <c r="E227" s="603">
        <f>SUM(F227:I227)</f>
        <v>0</v>
      </c>
      <c r="F227" s="603">
        <f>F228+F229</f>
        <v>0</v>
      </c>
      <c r="G227" s="603">
        <f>G228+G229</f>
        <v>0</v>
      </c>
      <c r="H227" s="603">
        <f>H228+H229</f>
        <v>0</v>
      </c>
      <c r="I227" s="603">
        <f>I228+I229</f>
        <v>0</v>
      </c>
      <c r="J227" s="1004" t="s">
        <v>81</v>
      </c>
      <c r="K227" s="1005" t="s">
        <v>298</v>
      </c>
    </row>
    <row r="228" spans="1:11" s="622" customFormat="1" outlineLevel="1">
      <c r="A228" s="1001"/>
      <c r="B228" s="1002"/>
      <c r="C228" s="1003"/>
      <c r="D228" s="602">
        <v>2019</v>
      </c>
      <c r="E228" s="603">
        <f>SUM(F228:I228)</f>
        <v>0</v>
      </c>
      <c r="F228" s="603">
        <v>0</v>
      </c>
      <c r="G228" s="603">
        <v>0</v>
      </c>
      <c r="H228" s="603">
        <v>0</v>
      </c>
      <c r="I228" s="603">
        <v>0</v>
      </c>
      <c r="J228" s="1004"/>
      <c r="K228" s="1005"/>
    </row>
    <row r="229" spans="1:11" s="622" customFormat="1" outlineLevel="1">
      <c r="A229" s="1001"/>
      <c r="B229" s="1002"/>
      <c r="C229" s="1003"/>
      <c r="D229" s="602">
        <v>2020</v>
      </c>
      <c r="E229" s="603">
        <f>SUM(F229:I229)</f>
        <v>0</v>
      </c>
      <c r="F229" s="603">
        <v>0</v>
      </c>
      <c r="G229" s="603">
        <v>0</v>
      </c>
      <c r="H229" s="603">
        <v>0</v>
      </c>
      <c r="I229" s="603">
        <v>0</v>
      </c>
      <c r="J229" s="1004"/>
      <c r="K229" s="1005"/>
    </row>
    <row r="230" spans="1:11" ht="17.100000000000001" customHeight="1" outlineLevel="1">
      <c r="A230" s="1001" t="s">
        <v>619</v>
      </c>
      <c r="B230" s="1002" t="s">
        <v>633</v>
      </c>
      <c r="C230" s="1003" t="s">
        <v>2673</v>
      </c>
      <c r="D230" s="602" t="s">
        <v>8</v>
      </c>
      <c r="E230" s="603">
        <f t="shared" si="18"/>
        <v>1546522.4000000001</v>
      </c>
      <c r="F230" s="603">
        <f>F231+F232</f>
        <v>539478</v>
      </c>
      <c r="G230" s="603">
        <f>G231+G232</f>
        <v>822432.8</v>
      </c>
      <c r="H230" s="603">
        <f>H231+H232</f>
        <v>148611.6</v>
      </c>
      <c r="I230" s="603">
        <f>I231+I232</f>
        <v>36000</v>
      </c>
      <c r="J230" s="1004" t="s">
        <v>81</v>
      </c>
      <c r="K230" s="1005" t="s">
        <v>2786</v>
      </c>
    </row>
    <row r="231" spans="1:11" outlineLevel="1">
      <c r="A231" s="1001"/>
      <c r="B231" s="1002"/>
      <c r="C231" s="1003"/>
      <c r="D231" s="602">
        <v>2019</v>
      </c>
      <c r="E231" s="603">
        <f t="shared" si="18"/>
        <v>609120.5</v>
      </c>
      <c r="F231" s="603">
        <f>F234+F237+F240+F243+F246+F249+F252+F255+F258+F261+F264+F267</f>
        <v>201683.10000000003</v>
      </c>
      <c r="G231" s="603">
        <f t="shared" ref="G231:I232" si="19">G234+G237+G240+G243+G246+G249+G252+G255+G258+G261+G264+G267</f>
        <v>312087.3</v>
      </c>
      <c r="H231" s="603">
        <f t="shared" si="19"/>
        <v>67050.100000000006</v>
      </c>
      <c r="I231" s="603">
        <f t="shared" si="19"/>
        <v>28300</v>
      </c>
      <c r="J231" s="1004"/>
      <c r="K231" s="1005"/>
    </row>
    <row r="232" spans="1:11" outlineLevel="1">
      <c r="A232" s="1001"/>
      <c r="B232" s="1002"/>
      <c r="C232" s="1003"/>
      <c r="D232" s="602">
        <v>2020</v>
      </c>
      <c r="E232" s="603">
        <f>SUM(F232:I232)</f>
        <v>937401.9</v>
      </c>
      <c r="F232" s="603">
        <f>F235+F238+F241+F244+F247+F250+F253+F256+F259+F262+F265+F268</f>
        <v>337794.9</v>
      </c>
      <c r="G232" s="603">
        <f>G235+G238+G241+G244+G247+G250+G253+G256+G259+G262+G265+G268</f>
        <v>510345.5</v>
      </c>
      <c r="H232" s="603">
        <f>H235+H238+H241+H244+H247+H250+H253+H256+H259+H262+H265+H268</f>
        <v>81561.5</v>
      </c>
      <c r="I232" s="603">
        <f t="shared" si="19"/>
        <v>7700</v>
      </c>
      <c r="J232" s="1004"/>
      <c r="K232" s="1005"/>
    </row>
    <row r="233" spans="1:11" s="10" customFormat="1" ht="13.5" customHeight="1" outlineLevel="1">
      <c r="A233" s="985" t="s">
        <v>2787</v>
      </c>
      <c r="B233" s="1000" t="s">
        <v>2788</v>
      </c>
      <c r="C233" s="987">
        <v>2019</v>
      </c>
      <c r="D233" s="613" t="s">
        <v>8</v>
      </c>
      <c r="E233" s="614">
        <f t="shared" si="18"/>
        <v>8000</v>
      </c>
      <c r="F233" s="614">
        <f>F234+F235</f>
        <v>2320</v>
      </c>
      <c r="G233" s="614">
        <f>G234+G235</f>
        <v>5680</v>
      </c>
      <c r="H233" s="614">
        <f>H234+H235</f>
        <v>0</v>
      </c>
      <c r="I233" s="614">
        <f>I234+I235</f>
        <v>0</v>
      </c>
      <c r="J233" s="988" t="s">
        <v>2789</v>
      </c>
      <c r="K233" s="988" t="s">
        <v>89</v>
      </c>
    </row>
    <row r="234" spans="1:11" s="12" customFormat="1" ht="14.25" customHeight="1" outlineLevel="1">
      <c r="A234" s="985"/>
      <c r="B234" s="1000"/>
      <c r="C234" s="987"/>
      <c r="D234" s="613">
        <v>2019</v>
      </c>
      <c r="E234" s="614">
        <f t="shared" si="18"/>
        <v>8000</v>
      </c>
      <c r="F234" s="616">
        <v>2320</v>
      </c>
      <c r="G234" s="616">
        <v>5680</v>
      </c>
      <c r="H234" s="616">
        <v>0</v>
      </c>
      <c r="I234" s="616">
        <v>0</v>
      </c>
      <c r="J234" s="988"/>
      <c r="K234" s="988"/>
    </row>
    <row r="235" spans="1:11" s="12" customFormat="1" ht="14.25" customHeight="1" outlineLevel="1">
      <c r="A235" s="985"/>
      <c r="B235" s="1000"/>
      <c r="C235" s="987"/>
      <c r="D235" s="613">
        <v>2020</v>
      </c>
      <c r="E235" s="614">
        <f t="shared" si="18"/>
        <v>0</v>
      </c>
      <c r="F235" s="616">
        <v>0</v>
      </c>
      <c r="G235" s="616">
        <v>0</v>
      </c>
      <c r="H235" s="616">
        <v>0</v>
      </c>
      <c r="I235" s="616">
        <v>0</v>
      </c>
      <c r="J235" s="988"/>
      <c r="K235" s="988"/>
    </row>
    <row r="236" spans="1:11" s="615" customFormat="1" ht="13.5" customHeight="1" outlineLevel="1">
      <c r="A236" s="985" t="s">
        <v>2790</v>
      </c>
      <c r="B236" s="1000" t="s">
        <v>287</v>
      </c>
      <c r="C236" s="987">
        <v>2019</v>
      </c>
      <c r="D236" s="613" t="s">
        <v>8</v>
      </c>
      <c r="E236" s="614">
        <f t="shared" si="18"/>
        <v>101000</v>
      </c>
      <c r="F236" s="614">
        <f>F237+F238</f>
        <v>24326.5</v>
      </c>
      <c r="G236" s="614">
        <f>G237+G238</f>
        <v>59557.9</v>
      </c>
      <c r="H236" s="614">
        <f>H237+H238</f>
        <v>17115.599999999999</v>
      </c>
      <c r="I236" s="614">
        <f>I237+I238</f>
        <v>0</v>
      </c>
      <c r="J236" s="988" t="s">
        <v>2791</v>
      </c>
      <c r="K236" s="988" t="s">
        <v>90</v>
      </c>
    </row>
    <row r="237" spans="1:11" s="615" customFormat="1" ht="14.25" customHeight="1" outlineLevel="1">
      <c r="A237" s="985"/>
      <c r="B237" s="1000"/>
      <c r="C237" s="987"/>
      <c r="D237" s="613">
        <v>2019</v>
      </c>
      <c r="E237" s="614">
        <f t="shared" si="18"/>
        <v>101000</v>
      </c>
      <c r="F237" s="616">
        <v>24326.5</v>
      </c>
      <c r="G237" s="616">
        <v>59557.9</v>
      </c>
      <c r="H237" s="616">
        <v>17115.599999999999</v>
      </c>
      <c r="I237" s="616">
        <v>0</v>
      </c>
      <c r="J237" s="988"/>
      <c r="K237" s="988"/>
    </row>
    <row r="238" spans="1:11" s="615" customFormat="1" ht="12.75" outlineLevel="1">
      <c r="A238" s="985"/>
      <c r="B238" s="1000"/>
      <c r="C238" s="987"/>
      <c r="D238" s="613">
        <v>2020</v>
      </c>
      <c r="E238" s="614">
        <f t="shared" si="18"/>
        <v>0</v>
      </c>
      <c r="F238" s="616">
        <v>0</v>
      </c>
      <c r="G238" s="616">
        <v>0</v>
      </c>
      <c r="H238" s="616">
        <v>0</v>
      </c>
      <c r="I238" s="616">
        <v>0</v>
      </c>
      <c r="J238" s="988"/>
      <c r="K238" s="988"/>
    </row>
    <row r="239" spans="1:11" s="615" customFormat="1" ht="13.5" customHeight="1" outlineLevel="1">
      <c r="A239" s="985" t="s">
        <v>643</v>
      </c>
      <c r="B239" s="1000" t="s">
        <v>644</v>
      </c>
      <c r="C239" s="987" t="s">
        <v>2673</v>
      </c>
      <c r="D239" s="613" t="s">
        <v>8</v>
      </c>
      <c r="E239" s="614">
        <f t="shared" si="18"/>
        <v>374500.4</v>
      </c>
      <c r="F239" s="614">
        <f>F240+F241</f>
        <v>151461.40000000002</v>
      </c>
      <c r="G239" s="614">
        <f>G240+G241</f>
        <v>223039</v>
      </c>
      <c r="H239" s="614">
        <f>H240+H241</f>
        <v>0</v>
      </c>
      <c r="I239" s="614">
        <f>I240+I241</f>
        <v>0</v>
      </c>
      <c r="J239" s="988" t="s">
        <v>2792</v>
      </c>
      <c r="K239" s="988" t="s">
        <v>89</v>
      </c>
    </row>
    <row r="240" spans="1:11" s="615" customFormat="1" ht="14.25" customHeight="1" outlineLevel="1">
      <c r="A240" s="985"/>
      <c r="B240" s="1000"/>
      <c r="C240" s="987"/>
      <c r="D240" s="613">
        <v>2019</v>
      </c>
      <c r="E240" s="614">
        <f t="shared" si="18"/>
        <v>88528.6</v>
      </c>
      <c r="F240" s="616">
        <v>68528.600000000006</v>
      </c>
      <c r="G240" s="616">
        <v>20000</v>
      </c>
      <c r="H240" s="616">
        <v>0</v>
      </c>
      <c r="I240" s="616">
        <v>0</v>
      </c>
      <c r="J240" s="988"/>
      <c r="K240" s="988"/>
    </row>
    <row r="241" spans="1:11" s="615" customFormat="1" ht="14.25" customHeight="1" outlineLevel="1">
      <c r="A241" s="985"/>
      <c r="B241" s="1000"/>
      <c r="C241" s="987"/>
      <c r="D241" s="613">
        <v>2020</v>
      </c>
      <c r="E241" s="614">
        <f t="shared" si="18"/>
        <v>285971.8</v>
      </c>
      <c r="F241" s="616">
        <v>82932.800000000003</v>
      </c>
      <c r="G241" s="616">
        <v>203039</v>
      </c>
      <c r="H241" s="616">
        <v>0</v>
      </c>
      <c r="I241" s="616">
        <v>0</v>
      </c>
      <c r="J241" s="988"/>
      <c r="K241" s="988"/>
    </row>
    <row r="242" spans="1:11" s="622" customFormat="1" ht="15" customHeight="1" outlineLevel="1">
      <c r="A242" s="985" t="s">
        <v>2793</v>
      </c>
      <c r="B242" s="1000" t="s">
        <v>2794</v>
      </c>
      <c r="C242" s="987">
        <v>2019</v>
      </c>
      <c r="D242" s="613" t="s">
        <v>8</v>
      </c>
      <c r="E242" s="614">
        <f t="shared" si="18"/>
        <v>9265.2000000000007</v>
      </c>
      <c r="F242" s="614">
        <f>F243+F244</f>
        <v>2686.9</v>
      </c>
      <c r="G242" s="614">
        <f>G243+G244</f>
        <v>6578.3</v>
      </c>
      <c r="H242" s="614">
        <f>H243+H244</f>
        <v>0</v>
      </c>
      <c r="I242" s="614">
        <f>I243+I244</f>
        <v>0</v>
      </c>
      <c r="J242" s="988" t="s">
        <v>2730</v>
      </c>
      <c r="K242" s="988" t="s">
        <v>89</v>
      </c>
    </row>
    <row r="243" spans="1:11" s="622" customFormat="1" outlineLevel="1">
      <c r="A243" s="985"/>
      <c r="B243" s="1000"/>
      <c r="C243" s="987"/>
      <c r="D243" s="613">
        <v>2019</v>
      </c>
      <c r="E243" s="614">
        <f t="shared" si="18"/>
        <v>9265.2000000000007</v>
      </c>
      <c r="F243" s="616">
        <v>2686.9</v>
      </c>
      <c r="G243" s="616">
        <v>6578.3</v>
      </c>
      <c r="H243" s="616">
        <v>0</v>
      </c>
      <c r="I243" s="616">
        <v>0</v>
      </c>
      <c r="J243" s="988"/>
      <c r="K243" s="988"/>
    </row>
    <row r="244" spans="1:11" s="622" customFormat="1" outlineLevel="1">
      <c r="A244" s="985"/>
      <c r="B244" s="1000"/>
      <c r="C244" s="987"/>
      <c r="D244" s="613">
        <v>2020</v>
      </c>
      <c r="E244" s="614">
        <f t="shared" si="18"/>
        <v>0</v>
      </c>
      <c r="F244" s="616">
        <v>0</v>
      </c>
      <c r="G244" s="616">
        <v>0</v>
      </c>
      <c r="H244" s="616">
        <v>0</v>
      </c>
      <c r="I244" s="616">
        <v>0</v>
      </c>
      <c r="J244" s="988"/>
      <c r="K244" s="988"/>
    </row>
    <row r="245" spans="1:11" s="615" customFormat="1" ht="13.5" customHeight="1" outlineLevel="1">
      <c r="A245" s="985" t="s">
        <v>645</v>
      </c>
      <c r="B245" s="1000" t="s">
        <v>646</v>
      </c>
      <c r="C245" s="987" t="s">
        <v>2673</v>
      </c>
      <c r="D245" s="613" t="s">
        <v>8</v>
      </c>
      <c r="E245" s="614">
        <f t="shared" si="18"/>
        <v>294615.40000000002</v>
      </c>
      <c r="F245" s="614">
        <f>F246+F247</f>
        <v>113408.2</v>
      </c>
      <c r="G245" s="614">
        <f>G246+G247</f>
        <v>181207.2</v>
      </c>
      <c r="H245" s="614">
        <f>H246+H247</f>
        <v>0</v>
      </c>
      <c r="I245" s="614">
        <f>I246+I247</f>
        <v>0</v>
      </c>
      <c r="J245" s="996" t="s">
        <v>2795</v>
      </c>
      <c r="K245" s="988" t="s">
        <v>2796</v>
      </c>
    </row>
    <row r="246" spans="1:11" s="615" customFormat="1" ht="14.25" customHeight="1" outlineLevel="1">
      <c r="A246" s="985"/>
      <c r="B246" s="1000"/>
      <c r="C246" s="987"/>
      <c r="D246" s="613">
        <v>2019</v>
      </c>
      <c r="E246" s="614">
        <f t="shared" si="18"/>
        <v>158588.59999999998</v>
      </c>
      <c r="F246" s="616">
        <v>45990.7</v>
      </c>
      <c r="G246" s="616">
        <v>112597.9</v>
      </c>
      <c r="H246" s="616">
        <v>0</v>
      </c>
      <c r="I246" s="616">
        <v>0</v>
      </c>
      <c r="J246" s="996"/>
      <c r="K246" s="988"/>
    </row>
    <row r="247" spans="1:11" s="615" customFormat="1" ht="14.25" customHeight="1" outlineLevel="1">
      <c r="A247" s="985"/>
      <c r="B247" s="1000"/>
      <c r="C247" s="987"/>
      <c r="D247" s="613">
        <v>2020</v>
      </c>
      <c r="E247" s="614">
        <f t="shared" si="18"/>
        <v>136026.79999999999</v>
      </c>
      <c r="F247" s="619">
        <f>29906.3+37511.2</f>
        <v>67417.5</v>
      </c>
      <c r="G247" s="616">
        <v>68609.3</v>
      </c>
      <c r="H247" s="616">
        <v>0</v>
      </c>
      <c r="I247" s="616">
        <v>0</v>
      </c>
      <c r="J247" s="996"/>
      <c r="K247" s="988"/>
    </row>
    <row r="248" spans="1:11" s="2" customFormat="1" ht="16.5" customHeight="1" outlineLevel="1">
      <c r="A248" s="762" t="s">
        <v>2797</v>
      </c>
      <c r="B248" s="999" t="s">
        <v>2798</v>
      </c>
      <c r="C248" s="762">
        <v>2019</v>
      </c>
      <c r="D248" s="443" t="s">
        <v>8</v>
      </c>
      <c r="E248" s="13">
        <f t="shared" si="18"/>
        <v>42553.2</v>
      </c>
      <c r="F248" s="13">
        <f>F249+F250</f>
        <v>2553.1999999999998</v>
      </c>
      <c r="G248" s="13">
        <f>G249+G250</f>
        <v>40000</v>
      </c>
      <c r="H248" s="13">
        <f>H249+H250</f>
        <v>0</v>
      </c>
      <c r="I248" s="13">
        <f>I249+I250</f>
        <v>0</v>
      </c>
      <c r="J248" s="824" t="s">
        <v>2799</v>
      </c>
      <c r="K248" s="824" t="s">
        <v>2725</v>
      </c>
    </row>
    <row r="249" spans="1:11" s="2" customFormat="1" ht="17.100000000000001" customHeight="1" outlineLevel="1">
      <c r="A249" s="762"/>
      <c r="B249" s="999"/>
      <c r="C249" s="762"/>
      <c r="D249" s="443">
        <v>2019</v>
      </c>
      <c r="E249" s="13">
        <f t="shared" si="18"/>
        <v>42553.2</v>
      </c>
      <c r="F249" s="604">
        <v>2553.1999999999998</v>
      </c>
      <c r="G249" s="604">
        <v>40000</v>
      </c>
      <c r="H249" s="604">
        <v>0</v>
      </c>
      <c r="I249" s="604">
        <v>0</v>
      </c>
      <c r="J249" s="824"/>
      <c r="K249" s="824"/>
    </row>
    <row r="250" spans="1:11" s="95" customFormat="1" ht="17.100000000000001" customHeight="1" outlineLevel="1">
      <c r="A250" s="762"/>
      <c r="B250" s="999"/>
      <c r="C250" s="762"/>
      <c r="D250" s="443">
        <v>2020</v>
      </c>
      <c r="E250" s="13">
        <f t="shared" ref="E250:E276" si="20">SUM(F250:I250)</f>
        <v>0</v>
      </c>
      <c r="F250" s="604">
        <v>0</v>
      </c>
      <c r="G250" s="604">
        <v>0</v>
      </c>
      <c r="H250" s="604">
        <v>0</v>
      </c>
      <c r="I250" s="604">
        <v>0</v>
      </c>
      <c r="J250" s="824"/>
      <c r="K250" s="824"/>
    </row>
    <row r="251" spans="1:11" s="626" customFormat="1" ht="15" customHeight="1" outlineLevel="1">
      <c r="A251" s="985" t="s">
        <v>647</v>
      </c>
      <c r="B251" s="1000" t="s">
        <v>642</v>
      </c>
      <c r="C251" s="987" t="s">
        <v>2673</v>
      </c>
      <c r="D251" s="613" t="s">
        <v>8</v>
      </c>
      <c r="E251" s="614">
        <f t="shared" si="20"/>
        <v>319568.90000000002</v>
      </c>
      <c r="F251" s="614">
        <f>F252+F253</f>
        <v>83316</v>
      </c>
      <c r="G251" s="614">
        <f>G252+G253</f>
        <v>116936.9</v>
      </c>
      <c r="H251" s="614">
        <f>H252+H253</f>
        <v>83316</v>
      </c>
      <c r="I251" s="614">
        <f>I252+I253</f>
        <v>36000</v>
      </c>
      <c r="J251" s="988" t="s">
        <v>2800</v>
      </c>
      <c r="K251" s="988" t="s">
        <v>2801</v>
      </c>
    </row>
    <row r="252" spans="1:11" s="626" customFormat="1" outlineLevel="1">
      <c r="A252" s="985"/>
      <c r="B252" s="1000"/>
      <c r="C252" s="987"/>
      <c r="D252" s="613">
        <v>2019</v>
      </c>
      <c r="E252" s="614">
        <f t="shared" si="20"/>
        <v>194936.2</v>
      </c>
      <c r="F252" s="616">
        <v>49481.5</v>
      </c>
      <c r="G252" s="616">
        <v>67673.2</v>
      </c>
      <c r="H252" s="616">
        <v>49481.5</v>
      </c>
      <c r="I252" s="629">
        <v>28300</v>
      </c>
      <c r="J252" s="988"/>
      <c r="K252" s="988"/>
    </row>
    <row r="253" spans="1:11" s="626" customFormat="1" outlineLevel="1">
      <c r="A253" s="985"/>
      <c r="B253" s="1000"/>
      <c r="C253" s="987"/>
      <c r="D253" s="613">
        <v>2020</v>
      </c>
      <c r="E253" s="614">
        <f t="shared" si="20"/>
        <v>124632.7</v>
      </c>
      <c r="F253" s="630">
        <v>33834.5</v>
      </c>
      <c r="G253" s="616">
        <v>49263.7</v>
      </c>
      <c r="H253" s="631">
        <v>33834.5</v>
      </c>
      <c r="I253" s="619">
        <v>7700</v>
      </c>
      <c r="J253" s="988"/>
      <c r="K253" s="988"/>
    </row>
    <row r="254" spans="1:11" s="2" customFormat="1" ht="15" customHeight="1" outlineLevel="1">
      <c r="A254" s="762" t="s">
        <v>648</v>
      </c>
      <c r="B254" s="989" t="s">
        <v>685</v>
      </c>
      <c r="C254" s="762">
        <v>2020</v>
      </c>
      <c r="D254" s="443" t="s">
        <v>8</v>
      </c>
      <c r="E254" s="13">
        <f t="shared" si="20"/>
        <v>27027</v>
      </c>
      <c r="F254" s="13">
        <f>F255+F256</f>
        <v>25000</v>
      </c>
      <c r="G254" s="13">
        <f>G255+G256</f>
        <v>0</v>
      </c>
      <c r="H254" s="13">
        <f>H255+H256</f>
        <v>2027</v>
      </c>
      <c r="I254" s="13">
        <f>I255+I256</f>
        <v>0</v>
      </c>
      <c r="J254" s="824" t="s">
        <v>2802</v>
      </c>
      <c r="K254" s="824" t="s">
        <v>2725</v>
      </c>
    </row>
    <row r="255" spans="1:11" s="2" customFormat="1" outlineLevel="1">
      <c r="A255" s="762"/>
      <c r="B255" s="989"/>
      <c r="C255" s="762"/>
      <c r="D255" s="443">
        <v>2019</v>
      </c>
      <c r="E255" s="13">
        <f t="shared" si="20"/>
        <v>0</v>
      </c>
      <c r="F255" s="604">
        <v>0</v>
      </c>
      <c r="G255" s="604">
        <v>0</v>
      </c>
      <c r="H255" s="604">
        <v>0</v>
      </c>
      <c r="I255" s="604">
        <v>0</v>
      </c>
      <c r="J255" s="824"/>
      <c r="K255" s="824"/>
    </row>
    <row r="256" spans="1:11" s="608" customFormat="1" outlineLevel="1">
      <c r="A256" s="762"/>
      <c r="B256" s="989"/>
      <c r="C256" s="762"/>
      <c r="D256" s="443">
        <v>2020</v>
      </c>
      <c r="E256" s="13">
        <f t="shared" si="20"/>
        <v>27027</v>
      </c>
      <c r="F256" s="604">
        <v>25000</v>
      </c>
      <c r="G256" s="604">
        <v>0</v>
      </c>
      <c r="H256" s="604">
        <v>2027</v>
      </c>
      <c r="I256" s="604">
        <v>0</v>
      </c>
      <c r="J256" s="824"/>
      <c r="K256" s="824"/>
    </row>
    <row r="257" spans="1:11" s="620" customFormat="1" ht="15" customHeight="1" outlineLevel="1">
      <c r="A257" s="997" t="s">
        <v>2803</v>
      </c>
      <c r="B257" s="998" t="s">
        <v>2804</v>
      </c>
      <c r="C257" s="997">
        <v>2019</v>
      </c>
      <c r="D257" s="37" t="s">
        <v>8</v>
      </c>
      <c r="E257" s="611">
        <f t="shared" si="20"/>
        <v>2198.6999999999998</v>
      </c>
      <c r="F257" s="611">
        <f>F258+F259</f>
        <v>1745.7</v>
      </c>
      <c r="G257" s="611">
        <f>G258+G259</f>
        <v>0</v>
      </c>
      <c r="H257" s="611">
        <f>H258+H259</f>
        <v>453</v>
      </c>
      <c r="I257" s="611">
        <f>I258+I259</f>
        <v>0</v>
      </c>
      <c r="J257" s="944" t="s">
        <v>2805</v>
      </c>
      <c r="K257" s="944" t="s">
        <v>2725</v>
      </c>
    </row>
    <row r="258" spans="1:11" s="620" customFormat="1" outlineLevel="1">
      <c r="A258" s="997"/>
      <c r="B258" s="998"/>
      <c r="C258" s="997"/>
      <c r="D258" s="37">
        <v>2019</v>
      </c>
      <c r="E258" s="611">
        <f t="shared" si="20"/>
        <v>2198.6999999999998</v>
      </c>
      <c r="F258" s="621">
        <v>1745.7</v>
      </c>
      <c r="G258" s="612">
        <v>0</v>
      </c>
      <c r="H258" s="612">
        <v>453</v>
      </c>
      <c r="I258" s="612">
        <v>0</v>
      </c>
      <c r="J258" s="944"/>
      <c r="K258" s="944"/>
    </row>
    <row r="259" spans="1:11" s="620" customFormat="1" outlineLevel="1">
      <c r="A259" s="997"/>
      <c r="B259" s="998"/>
      <c r="C259" s="997"/>
      <c r="D259" s="37">
        <v>2020</v>
      </c>
      <c r="E259" s="611">
        <f t="shared" si="20"/>
        <v>0</v>
      </c>
      <c r="F259" s="612">
        <v>0</v>
      </c>
      <c r="G259" s="612">
        <v>0</v>
      </c>
      <c r="H259" s="612">
        <v>0</v>
      </c>
      <c r="I259" s="612">
        <v>0</v>
      </c>
      <c r="J259" s="944"/>
      <c r="K259" s="944"/>
    </row>
    <row r="260" spans="1:11" s="632" customFormat="1" ht="12.75" outlineLevel="1">
      <c r="A260" s="765" t="s">
        <v>649</v>
      </c>
      <c r="B260" s="989" t="s">
        <v>216</v>
      </c>
      <c r="C260" s="990" t="s">
        <v>2673</v>
      </c>
      <c r="D260" s="443" t="s">
        <v>8</v>
      </c>
      <c r="E260" s="13">
        <f t="shared" si="20"/>
        <v>8100</v>
      </c>
      <c r="F260" s="13">
        <f>F261+F262</f>
        <v>8100</v>
      </c>
      <c r="G260" s="13">
        <f>G261+G262</f>
        <v>0</v>
      </c>
      <c r="H260" s="13">
        <f>H261+H262</f>
        <v>0</v>
      </c>
      <c r="I260" s="13">
        <f>I261+I262</f>
        <v>0</v>
      </c>
      <c r="J260" s="824" t="s">
        <v>2806</v>
      </c>
      <c r="K260" s="824" t="s">
        <v>2671</v>
      </c>
    </row>
    <row r="261" spans="1:11" s="632" customFormat="1" ht="12.75" outlineLevel="1">
      <c r="A261" s="762"/>
      <c r="B261" s="989"/>
      <c r="C261" s="990"/>
      <c r="D261" s="443">
        <v>2019</v>
      </c>
      <c r="E261" s="13">
        <f t="shared" si="20"/>
        <v>4050</v>
      </c>
      <c r="F261" s="604">
        <v>4050</v>
      </c>
      <c r="G261" s="604">
        <v>0</v>
      </c>
      <c r="H261" s="604">
        <v>0</v>
      </c>
      <c r="I261" s="604">
        <v>0</v>
      </c>
      <c r="J261" s="824"/>
      <c r="K261" s="824"/>
    </row>
    <row r="262" spans="1:11" s="632" customFormat="1" ht="12.75" outlineLevel="1">
      <c r="A262" s="762"/>
      <c r="B262" s="989"/>
      <c r="C262" s="990"/>
      <c r="D262" s="443">
        <v>2020</v>
      </c>
      <c r="E262" s="13">
        <f t="shared" si="20"/>
        <v>4050</v>
      </c>
      <c r="F262" s="604">
        <v>4050</v>
      </c>
      <c r="G262" s="604">
        <v>0</v>
      </c>
      <c r="H262" s="604">
        <v>0</v>
      </c>
      <c r="I262" s="604">
        <v>0</v>
      </c>
      <c r="J262" s="824"/>
      <c r="K262" s="824"/>
    </row>
    <row r="263" spans="1:11" s="615" customFormat="1" ht="13.5" customHeight="1" outlineLevel="1">
      <c r="A263" s="985" t="s">
        <v>650</v>
      </c>
      <c r="B263" s="986" t="s">
        <v>639</v>
      </c>
      <c r="C263" s="987">
        <v>2020</v>
      </c>
      <c r="D263" s="613" t="s">
        <v>8</v>
      </c>
      <c r="E263" s="614">
        <f t="shared" si="20"/>
        <v>201919.7</v>
      </c>
      <c r="F263" s="614">
        <f>F264+F265</f>
        <v>78860.100000000006</v>
      </c>
      <c r="G263" s="614">
        <f>G264+G265</f>
        <v>123059.6</v>
      </c>
      <c r="H263" s="614">
        <f>H264+H265</f>
        <v>0</v>
      </c>
      <c r="I263" s="614">
        <f>I264+I265</f>
        <v>0</v>
      </c>
      <c r="J263" s="996" t="s">
        <v>2807</v>
      </c>
      <c r="K263" s="988" t="s">
        <v>89</v>
      </c>
    </row>
    <row r="264" spans="1:11" s="615" customFormat="1" ht="14.25" customHeight="1" outlineLevel="1">
      <c r="A264" s="985"/>
      <c r="B264" s="986"/>
      <c r="C264" s="987"/>
      <c r="D264" s="613">
        <v>2019</v>
      </c>
      <c r="E264" s="614">
        <f t="shared" si="20"/>
        <v>0</v>
      </c>
      <c r="F264" s="616">
        <v>0</v>
      </c>
      <c r="G264" s="616">
        <v>0</v>
      </c>
      <c r="H264" s="616">
        <v>0</v>
      </c>
      <c r="I264" s="616">
        <v>0</v>
      </c>
      <c r="J264" s="996"/>
      <c r="K264" s="988"/>
    </row>
    <row r="265" spans="1:11" s="615" customFormat="1" ht="10.5" customHeight="1" outlineLevel="1">
      <c r="A265" s="985"/>
      <c r="B265" s="986"/>
      <c r="C265" s="987"/>
      <c r="D265" s="613">
        <v>2020</v>
      </c>
      <c r="E265" s="614">
        <f t="shared" si="20"/>
        <v>201919.7</v>
      </c>
      <c r="F265" s="619">
        <v>78860.100000000006</v>
      </c>
      <c r="G265" s="616">
        <v>123059.6</v>
      </c>
      <c r="H265" s="619">
        <v>0</v>
      </c>
      <c r="I265" s="616">
        <v>0</v>
      </c>
      <c r="J265" s="996"/>
      <c r="K265" s="988"/>
    </row>
    <row r="266" spans="1:11" s="615" customFormat="1" ht="13.5" customHeight="1" outlineLevel="1">
      <c r="A266" s="985" t="s">
        <v>686</v>
      </c>
      <c r="B266" s="986" t="s">
        <v>2713</v>
      </c>
      <c r="C266" s="987">
        <v>2020</v>
      </c>
      <c r="D266" s="613" t="s">
        <v>8</v>
      </c>
      <c r="E266" s="614">
        <f t="shared" si="20"/>
        <v>157773.9</v>
      </c>
      <c r="F266" s="614">
        <f>F267+F268</f>
        <v>45700</v>
      </c>
      <c r="G266" s="614">
        <f>G267+G268</f>
        <v>66373.899999999994</v>
      </c>
      <c r="H266" s="614">
        <f>H267+H268</f>
        <v>45700</v>
      </c>
      <c r="I266" s="614">
        <f>I267+I268</f>
        <v>0</v>
      </c>
      <c r="J266" s="988" t="s">
        <v>2808</v>
      </c>
      <c r="K266" s="988" t="s">
        <v>2715</v>
      </c>
    </row>
    <row r="267" spans="1:11" s="615" customFormat="1" ht="14.25" customHeight="1" outlineLevel="1">
      <c r="A267" s="985"/>
      <c r="B267" s="986"/>
      <c r="C267" s="987"/>
      <c r="D267" s="613">
        <v>2019</v>
      </c>
      <c r="E267" s="614">
        <f t="shared" si="20"/>
        <v>0</v>
      </c>
      <c r="F267" s="616">
        <v>0</v>
      </c>
      <c r="G267" s="616">
        <v>0</v>
      </c>
      <c r="H267" s="616">
        <v>0</v>
      </c>
      <c r="I267" s="616">
        <v>0</v>
      </c>
      <c r="J267" s="988"/>
      <c r="K267" s="988"/>
    </row>
    <row r="268" spans="1:11" s="615" customFormat="1" ht="14.25" customHeight="1" outlineLevel="1">
      <c r="A268" s="985"/>
      <c r="B268" s="986"/>
      <c r="C268" s="987"/>
      <c r="D268" s="613">
        <v>2020</v>
      </c>
      <c r="E268" s="614">
        <f t="shared" si="20"/>
        <v>157773.9</v>
      </c>
      <c r="F268" s="616">
        <f>36289+9411</f>
        <v>45700</v>
      </c>
      <c r="G268" s="616">
        <v>66373.899999999994</v>
      </c>
      <c r="H268" s="619">
        <v>45700</v>
      </c>
      <c r="I268" s="616">
        <v>0</v>
      </c>
      <c r="J268" s="988"/>
      <c r="K268" s="988"/>
    </row>
    <row r="269" spans="1:11">
      <c r="A269" s="991" t="s">
        <v>129</v>
      </c>
      <c r="B269" s="992" t="s">
        <v>2809</v>
      </c>
      <c r="C269" s="993" t="s">
        <v>2673</v>
      </c>
      <c r="D269" s="600" t="s">
        <v>8</v>
      </c>
      <c r="E269" s="601">
        <f t="shared" si="20"/>
        <v>75970.7</v>
      </c>
      <c r="F269" s="601">
        <f>F270+F271</f>
        <v>75970.7</v>
      </c>
      <c r="G269" s="633">
        <f>G270+G271</f>
        <v>0</v>
      </c>
      <c r="H269" s="633">
        <f>H270+H271</f>
        <v>0</v>
      </c>
      <c r="I269" s="633">
        <f>I270+I271</f>
        <v>0</v>
      </c>
      <c r="J269" s="994"/>
      <c r="K269" s="995" t="s">
        <v>2671</v>
      </c>
    </row>
    <row r="270" spans="1:11">
      <c r="A270" s="991"/>
      <c r="B270" s="992"/>
      <c r="C270" s="993"/>
      <c r="D270" s="600">
        <v>2019</v>
      </c>
      <c r="E270" s="601">
        <f t="shared" si="20"/>
        <v>29163.3</v>
      </c>
      <c r="F270" s="633">
        <f>SUM(F273)</f>
        <v>29163.3</v>
      </c>
      <c r="G270" s="633">
        <v>0</v>
      </c>
      <c r="H270" s="633">
        <v>0</v>
      </c>
      <c r="I270" s="633">
        <v>0</v>
      </c>
      <c r="J270" s="994"/>
      <c r="K270" s="995"/>
    </row>
    <row r="271" spans="1:11">
      <c r="A271" s="991"/>
      <c r="B271" s="992"/>
      <c r="C271" s="993"/>
      <c r="D271" s="600">
        <v>2020</v>
      </c>
      <c r="E271" s="601">
        <f t="shared" si="20"/>
        <v>46807.4</v>
      </c>
      <c r="F271" s="633">
        <f>SUM(F274)</f>
        <v>46807.4</v>
      </c>
      <c r="G271" s="633">
        <v>0</v>
      </c>
      <c r="H271" s="633">
        <v>0</v>
      </c>
      <c r="I271" s="633">
        <v>0</v>
      </c>
      <c r="J271" s="994"/>
      <c r="K271" s="995"/>
    </row>
    <row r="272" spans="1:11">
      <c r="A272" s="762" t="s">
        <v>131</v>
      </c>
      <c r="B272" s="989" t="s">
        <v>132</v>
      </c>
      <c r="C272" s="990" t="s">
        <v>2673</v>
      </c>
      <c r="D272" s="443" t="s">
        <v>8</v>
      </c>
      <c r="E272" s="13">
        <f t="shared" si="20"/>
        <v>75970.7</v>
      </c>
      <c r="F272" s="13">
        <f>F273+F274</f>
        <v>75970.7</v>
      </c>
      <c r="G272" s="13">
        <f>G273+G274</f>
        <v>0</v>
      </c>
      <c r="H272" s="13">
        <f>H273+H274</f>
        <v>0</v>
      </c>
      <c r="I272" s="13">
        <f>I273+I274</f>
        <v>0</v>
      </c>
      <c r="J272" s="824" t="s">
        <v>133</v>
      </c>
      <c r="K272" s="824" t="s">
        <v>2671</v>
      </c>
    </row>
    <row r="273" spans="1:11">
      <c r="A273" s="762"/>
      <c r="B273" s="989"/>
      <c r="C273" s="990"/>
      <c r="D273" s="443">
        <v>2019</v>
      </c>
      <c r="E273" s="13">
        <f t="shared" si="20"/>
        <v>29163.3</v>
      </c>
      <c r="F273" s="604">
        <f>SUM(F276)</f>
        <v>29163.3</v>
      </c>
      <c r="G273" s="604">
        <f t="shared" ref="F273:I274" si="21">SUM(G276)</f>
        <v>0</v>
      </c>
      <c r="H273" s="604">
        <f t="shared" si="21"/>
        <v>0</v>
      </c>
      <c r="I273" s="604">
        <f t="shared" si="21"/>
        <v>0</v>
      </c>
      <c r="J273" s="824"/>
      <c r="K273" s="824"/>
    </row>
    <row r="274" spans="1:11">
      <c r="A274" s="762"/>
      <c r="B274" s="989"/>
      <c r="C274" s="990"/>
      <c r="D274" s="443">
        <v>2020</v>
      </c>
      <c r="E274" s="13">
        <f t="shared" si="20"/>
        <v>46807.4</v>
      </c>
      <c r="F274" s="604">
        <f t="shared" si="21"/>
        <v>46807.4</v>
      </c>
      <c r="G274" s="604">
        <f t="shared" si="21"/>
        <v>0</v>
      </c>
      <c r="H274" s="604">
        <f t="shared" si="21"/>
        <v>0</v>
      </c>
      <c r="I274" s="604">
        <f t="shared" si="21"/>
        <v>0</v>
      </c>
      <c r="J274" s="824"/>
      <c r="K274" s="824"/>
    </row>
    <row r="275" spans="1:11">
      <c r="A275" s="762" t="s">
        <v>134</v>
      </c>
      <c r="B275" s="989" t="s">
        <v>688</v>
      </c>
      <c r="C275" s="990" t="s">
        <v>2673</v>
      </c>
      <c r="D275" s="443" t="s">
        <v>8</v>
      </c>
      <c r="E275" s="13">
        <f t="shared" si="20"/>
        <v>75970.7</v>
      </c>
      <c r="F275" s="13">
        <f>F276+F277</f>
        <v>75970.7</v>
      </c>
      <c r="G275" s="604">
        <f>G276+G277</f>
        <v>0</v>
      </c>
      <c r="H275" s="604">
        <f>H276+H277</f>
        <v>0</v>
      </c>
      <c r="I275" s="604">
        <f>I276+I277</f>
        <v>0</v>
      </c>
      <c r="J275" s="824" t="s">
        <v>136</v>
      </c>
      <c r="K275" s="824" t="s">
        <v>2671</v>
      </c>
    </row>
    <row r="276" spans="1:11">
      <c r="A276" s="762"/>
      <c r="B276" s="989"/>
      <c r="C276" s="990"/>
      <c r="D276" s="443">
        <v>2019</v>
      </c>
      <c r="E276" s="13">
        <f t="shared" si="20"/>
        <v>29163.3</v>
      </c>
      <c r="F276" s="604">
        <v>29163.3</v>
      </c>
      <c r="G276" s="604">
        <v>0</v>
      </c>
      <c r="H276" s="604">
        <v>0</v>
      </c>
      <c r="I276" s="604">
        <v>0</v>
      </c>
      <c r="J276" s="824"/>
      <c r="K276" s="824"/>
    </row>
    <row r="277" spans="1:11">
      <c r="A277" s="762"/>
      <c r="B277" s="989"/>
      <c r="C277" s="990"/>
      <c r="D277" s="443">
        <v>2020</v>
      </c>
      <c r="E277" s="13">
        <f>SUM(F277:I277)</f>
        <v>46807.4</v>
      </c>
      <c r="F277" s="605">
        <f>46447.4+360</f>
        <v>46807.4</v>
      </c>
      <c r="G277" s="604">
        <v>0</v>
      </c>
      <c r="H277" s="604">
        <v>0</v>
      </c>
      <c r="I277" s="604">
        <v>0</v>
      </c>
      <c r="J277" s="824"/>
      <c r="K277" s="824"/>
    </row>
    <row r="278" spans="1:11">
      <c r="A278" s="16"/>
      <c r="B278" s="634"/>
      <c r="C278" s="18"/>
      <c r="D278" s="18"/>
      <c r="E278" s="23"/>
      <c r="F278" s="24"/>
      <c r="G278" s="24"/>
      <c r="H278" s="24"/>
      <c r="I278" s="20"/>
      <c r="J278" s="108"/>
      <c r="K278" s="109"/>
    </row>
    <row r="279" spans="1:11">
      <c r="A279" s="16"/>
      <c r="B279" s="634"/>
      <c r="C279" s="18"/>
      <c r="D279" s="18"/>
      <c r="E279" s="19"/>
      <c r="F279" s="20"/>
      <c r="G279" s="20"/>
      <c r="H279" s="20"/>
      <c r="I279" s="20"/>
      <c r="J279" s="108"/>
      <c r="K279" s="109"/>
    </row>
    <row r="280" spans="1:11">
      <c r="A280" s="25"/>
      <c r="B280" s="635"/>
      <c r="C280" s="10"/>
      <c r="D280" s="111"/>
      <c r="E280" s="27"/>
      <c r="F280" s="28"/>
      <c r="G280" s="27"/>
      <c r="H280" s="27"/>
      <c r="I280" s="27"/>
      <c r="J280" s="112"/>
      <c r="K280" s="113"/>
    </row>
    <row r="281" spans="1:11">
      <c r="A281" s="31"/>
      <c r="B281" s="636"/>
      <c r="C281" s="31"/>
      <c r="D281" s="31"/>
      <c r="E281" s="33"/>
      <c r="F281" s="34"/>
      <c r="G281" s="33"/>
      <c r="H281" s="33"/>
      <c r="I281" s="33"/>
      <c r="J281" s="115"/>
      <c r="K281" s="114"/>
    </row>
  </sheetData>
  <autoFilter ref="A4:K277">
    <filterColumn colId="3">
      <colorFilter dxfId="0"/>
    </filterColumn>
  </autoFilter>
  <dataConsolidate/>
  <mergeCells count="462">
    <mergeCell ref="A1:K2"/>
    <mergeCell ref="A3:A4"/>
    <mergeCell ref="B3:B4"/>
    <mergeCell ref="C3:C4"/>
    <mergeCell ref="D3:I3"/>
    <mergeCell ref="J3:J4"/>
    <mergeCell ref="K3:K4"/>
    <mergeCell ref="A5:A7"/>
    <mergeCell ref="B5:B7"/>
    <mergeCell ref="C5:C7"/>
    <mergeCell ref="J5:J7"/>
    <mergeCell ref="K5:K7"/>
    <mergeCell ref="A8:A10"/>
    <mergeCell ref="B8:B10"/>
    <mergeCell ref="C8:C10"/>
    <mergeCell ref="J8:J10"/>
    <mergeCell ref="K8:K10"/>
    <mergeCell ref="A11:A13"/>
    <mergeCell ref="B11:B13"/>
    <mergeCell ref="C11:C13"/>
    <mergeCell ref="J11:J13"/>
    <mergeCell ref="K11:K13"/>
    <mergeCell ref="A14:A16"/>
    <mergeCell ref="B14:B16"/>
    <mergeCell ref="C14:C16"/>
    <mergeCell ref="J14:J16"/>
    <mergeCell ref="K14:K16"/>
    <mergeCell ref="A17:A19"/>
    <mergeCell ref="B17:B19"/>
    <mergeCell ref="C17:C19"/>
    <mergeCell ref="J17:J19"/>
    <mergeCell ref="K17:K19"/>
    <mergeCell ref="A20:A22"/>
    <mergeCell ref="B20:B22"/>
    <mergeCell ref="C20:C22"/>
    <mergeCell ref="J20:J22"/>
    <mergeCell ref="K20:K22"/>
    <mergeCell ref="A23:A25"/>
    <mergeCell ref="B23:B25"/>
    <mergeCell ref="C23:C25"/>
    <mergeCell ref="J23:J25"/>
    <mergeCell ref="K23:K25"/>
    <mergeCell ref="A26:A28"/>
    <mergeCell ref="B26:B28"/>
    <mergeCell ref="C26:C28"/>
    <mergeCell ref="J26:J28"/>
    <mergeCell ref="K26:K28"/>
    <mergeCell ref="A29:A31"/>
    <mergeCell ref="B29:B31"/>
    <mergeCell ref="C29:C31"/>
    <mergeCell ref="J29:J31"/>
    <mergeCell ref="K29:K31"/>
    <mergeCell ref="A32:A34"/>
    <mergeCell ref="B32:B34"/>
    <mergeCell ref="C32:C34"/>
    <mergeCell ref="J32:J34"/>
    <mergeCell ref="K32:K34"/>
    <mergeCell ref="A35:A37"/>
    <mergeCell ref="B35:B37"/>
    <mergeCell ref="C35:C37"/>
    <mergeCell ref="J35:J37"/>
    <mergeCell ref="K35:K37"/>
    <mergeCell ref="A38:A40"/>
    <mergeCell ref="B38:B40"/>
    <mergeCell ref="C38:C40"/>
    <mergeCell ref="J38:J40"/>
    <mergeCell ref="K38:K40"/>
    <mergeCell ref="A41:A43"/>
    <mergeCell ref="B41:B43"/>
    <mergeCell ref="C41:C43"/>
    <mergeCell ref="J41:J43"/>
    <mergeCell ref="K41:K43"/>
    <mergeCell ref="A44:A46"/>
    <mergeCell ref="B44:B46"/>
    <mergeCell ref="C44:C46"/>
    <mergeCell ref="J44:J46"/>
    <mergeCell ref="K44:K46"/>
    <mergeCell ref="A47:A49"/>
    <mergeCell ref="B47:B49"/>
    <mergeCell ref="C47:C49"/>
    <mergeCell ref="J47:J49"/>
    <mergeCell ref="K47:K49"/>
    <mergeCell ref="A50:A52"/>
    <mergeCell ref="B50:B52"/>
    <mergeCell ref="C50:C52"/>
    <mergeCell ref="J50:J52"/>
    <mergeCell ref="K50:K52"/>
    <mergeCell ref="A53:A55"/>
    <mergeCell ref="B53:B55"/>
    <mergeCell ref="C53:C55"/>
    <mergeCell ref="J53:J55"/>
    <mergeCell ref="K53:K55"/>
    <mergeCell ref="A56:A58"/>
    <mergeCell ref="B56:B58"/>
    <mergeCell ref="C56:C58"/>
    <mergeCell ref="J56:J58"/>
    <mergeCell ref="K56:K58"/>
    <mergeCell ref="A59:A61"/>
    <mergeCell ref="B59:B61"/>
    <mergeCell ref="C59:C61"/>
    <mergeCell ref="J59:J61"/>
    <mergeCell ref="K59:K61"/>
    <mergeCell ref="A62:A64"/>
    <mergeCell ref="B62:B64"/>
    <mergeCell ref="C62:C64"/>
    <mergeCell ref="J62:J64"/>
    <mergeCell ref="K62:K64"/>
    <mergeCell ref="A65:A67"/>
    <mergeCell ref="B65:B67"/>
    <mergeCell ref="C65:C67"/>
    <mergeCell ref="J65:J67"/>
    <mergeCell ref="K65:K67"/>
    <mergeCell ref="A68:A70"/>
    <mergeCell ref="B68:B70"/>
    <mergeCell ref="C68:C70"/>
    <mergeCell ref="J68:J70"/>
    <mergeCell ref="K68:K70"/>
    <mergeCell ref="A71:A73"/>
    <mergeCell ref="B71:B73"/>
    <mergeCell ref="C71:C73"/>
    <mergeCell ref="J71:J73"/>
    <mergeCell ref="K71:K73"/>
    <mergeCell ref="A74:A76"/>
    <mergeCell ref="B74:B76"/>
    <mergeCell ref="C74:C76"/>
    <mergeCell ref="J74:J76"/>
    <mergeCell ref="K74:K76"/>
    <mergeCell ref="A77:A79"/>
    <mergeCell ref="B77:B79"/>
    <mergeCell ref="C77:C79"/>
    <mergeCell ref="J77:J79"/>
    <mergeCell ref="K77:K79"/>
    <mergeCell ref="A80:A82"/>
    <mergeCell ref="B80:B82"/>
    <mergeCell ref="C80:C82"/>
    <mergeCell ref="J80:J82"/>
    <mergeCell ref="K80:K82"/>
    <mergeCell ref="A83:A85"/>
    <mergeCell ref="B83:B85"/>
    <mergeCell ref="C83:C85"/>
    <mergeCell ref="J83:J85"/>
    <mergeCell ref="K83:K85"/>
    <mergeCell ref="A86:A88"/>
    <mergeCell ref="B86:B88"/>
    <mergeCell ref="C86:C88"/>
    <mergeCell ref="J86:J88"/>
    <mergeCell ref="K86:K88"/>
    <mergeCell ref="A89:A91"/>
    <mergeCell ref="B89:B91"/>
    <mergeCell ref="C89:C91"/>
    <mergeCell ref="J89:J91"/>
    <mergeCell ref="K89:K91"/>
    <mergeCell ref="A92:A94"/>
    <mergeCell ref="B92:B94"/>
    <mergeCell ref="C92:C94"/>
    <mergeCell ref="J92:J94"/>
    <mergeCell ref="K92:K94"/>
    <mergeCell ref="A95:A97"/>
    <mergeCell ref="B95:B97"/>
    <mergeCell ref="C95:C97"/>
    <mergeCell ref="J95:J97"/>
    <mergeCell ref="K95:K97"/>
    <mergeCell ref="A98:A100"/>
    <mergeCell ref="B98:B100"/>
    <mergeCell ref="C98:C100"/>
    <mergeCell ref="J98:J100"/>
    <mergeCell ref="K98:K100"/>
    <mergeCell ref="A101:A103"/>
    <mergeCell ref="B101:B103"/>
    <mergeCell ref="C101:C103"/>
    <mergeCell ref="J101:J103"/>
    <mergeCell ref="K101:K103"/>
    <mergeCell ref="A104:A106"/>
    <mergeCell ref="B104:B106"/>
    <mergeCell ref="C104:C106"/>
    <mergeCell ref="J104:J106"/>
    <mergeCell ref="K104:K106"/>
    <mergeCell ref="A107:A109"/>
    <mergeCell ref="B107:B109"/>
    <mergeCell ref="C107:C109"/>
    <mergeCell ref="J107:J109"/>
    <mergeCell ref="K107:K109"/>
    <mergeCell ref="A110:A112"/>
    <mergeCell ref="B110:B112"/>
    <mergeCell ref="C110:C112"/>
    <mergeCell ref="J110:J112"/>
    <mergeCell ref="K110:K112"/>
    <mergeCell ref="A113:A115"/>
    <mergeCell ref="B113:B115"/>
    <mergeCell ref="C113:C115"/>
    <mergeCell ref="J113:J115"/>
    <mergeCell ref="K113:K115"/>
    <mergeCell ref="A116:A118"/>
    <mergeCell ref="B116:B118"/>
    <mergeCell ref="C116:C118"/>
    <mergeCell ref="J116:J118"/>
    <mergeCell ref="K116:K118"/>
    <mergeCell ref="A119:A121"/>
    <mergeCell ref="B119:B121"/>
    <mergeCell ref="C119:C121"/>
    <mergeCell ref="J119:J121"/>
    <mergeCell ref="K119:K121"/>
    <mergeCell ref="A122:A124"/>
    <mergeCell ref="B122:B124"/>
    <mergeCell ref="C122:C124"/>
    <mergeCell ref="J122:J124"/>
    <mergeCell ref="K122:K124"/>
    <mergeCell ref="A125:A127"/>
    <mergeCell ref="B125:B127"/>
    <mergeCell ref="C125:C127"/>
    <mergeCell ref="J125:J127"/>
    <mergeCell ref="K125:K127"/>
    <mergeCell ref="A128:A130"/>
    <mergeCell ref="B128:B130"/>
    <mergeCell ref="C128:C130"/>
    <mergeCell ref="J128:J130"/>
    <mergeCell ref="K128:K130"/>
    <mergeCell ref="A131:A133"/>
    <mergeCell ref="B131:B133"/>
    <mergeCell ref="C131:C133"/>
    <mergeCell ref="J131:J133"/>
    <mergeCell ref="K131:K133"/>
    <mergeCell ref="A134:A136"/>
    <mergeCell ref="B134:B136"/>
    <mergeCell ref="C134:C136"/>
    <mergeCell ref="J134:J136"/>
    <mergeCell ref="K134:K136"/>
    <mergeCell ref="A137:A139"/>
    <mergeCell ref="B137:B139"/>
    <mergeCell ref="C137:C139"/>
    <mergeCell ref="J137:J139"/>
    <mergeCell ref="K137:K139"/>
    <mergeCell ref="A140:A142"/>
    <mergeCell ref="B140:B142"/>
    <mergeCell ref="C140:C142"/>
    <mergeCell ref="J140:J142"/>
    <mergeCell ref="K140:K142"/>
    <mergeCell ref="A143:A145"/>
    <mergeCell ref="B143:B145"/>
    <mergeCell ref="C143:C145"/>
    <mergeCell ref="J143:J145"/>
    <mergeCell ref="K143:K145"/>
    <mergeCell ref="A146:A148"/>
    <mergeCell ref="B146:B148"/>
    <mergeCell ref="C146:C148"/>
    <mergeCell ref="J146:J148"/>
    <mergeCell ref="K146:K148"/>
    <mergeCell ref="A149:A151"/>
    <mergeCell ref="B149:B151"/>
    <mergeCell ref="C149:C151"/>
    <mergeCell ref="J149:J151"/>
    <mergeCell ref="K149:K151"/>
    <mergeCell ref="A152:A154"/>
    <mergeCell ref="B152:B154"/>
    <mergeCell ref="C152:C154"/>
    <mergeCell ref="J152:J154"/>
    <mergeCell ref="K152:K154"/>
    <mergeCell ref="A155:A157"/>
    <mergeCell ref="B155:B157"/>
    <mergeCell ref="C155:C157"/>
    <mergeCell ref="J155:J157"/>
    <mergeCell ref="K155:K157"/>
    <mergeCell ref="A158:A160"/>
    <mergeCell ref="B158:B160"/>
    <mergeCell ref="C158:C160"/>
    <mergeCell ref="J158:J160"/>
    <mergeCell ref="K158:K160"/>
    <mergeCell ref="A161:A163"/>
    <mergeCell ref="B161:B163"/>
    <mergeCell ref="C161:C163"/>
    <mergeCell ref="J161:J163"/>
    <mergeCell ref="K161:K163"/>
    <mergeCell ref="A164:A166"/>
    <mergeCell ref="B164:B166"/>
    <mergeCell ref="C164:C166"/>
    <mergeCell ref="J164:J166"/>
    <mergeCell ref="K164:K166"/>
    <mergeCell ref="A167:A169"/>
    <mergeCell ref="B167:B169"/>
    <mergeCell ref="C167:C169"/>
    <mergeCell ref="J167:J169"/>
    <mergeCell ref="K167:K169"/>
    <mergeCell ref="A170:A172"/>
    <mergeCell ref="B170:B172"/>
    <mergeCell ref="C170:C172"/>
    <mergeCell ref="J170:J172"/>
    <mergeCell ref="K170:K172"/>
    <mergeCell ref="A173:A175"/>
    <mergeCell ref="B173:B175"/>
    <mergeCell ref="C173:C175"/>
    <mergeCell ref="J173:J175"/>
    <mergeCell ref="K173:K175"/>
    <mergeCell ref="A176:A178"/>
    <mergeCell ref="B176:B178"/>
    <mergeCell ref="C176:C178"/>
    <mergeCell ref="J176:J178"/>
    <mergeCell ref="K176:K178"/>
    <mergeCell ref="A179:A181"/>
    <mergeCell ref="B179:B181"/>
    <mergeCell ref="C179:C181"/>
    <mergeCell ref="J179:J181"/>
    <mergeCell ref="K179:K181"/>
    <mergeCell ref="A182:A184"/>
    <mergeCell ref="B182:B184"/>
    <mergeCell ref="C182:C184"/>
    <mergeCell ref="J182:J184"/>
    <mergeCell ref="K182:K184"/>
    <mergeCell ref="A185:A187"/>
    <mergeCell ref="B185:B187"/>
    <mergeCell ref="C185:C187"/>
    <mergeCell ref="J185:J187"/>
    <mergeCell ref="K185:K187"/>
    <mergeCell ref="A188:A190"/>
    <mergeCell ref="B188:B190"/>
    <mergeCell ref="C188:C190"/>
    <mergeCell ref="J188:J190"/>
    <mergeCell ref="K188:K190"/>
    <mergeCell ref="A191:A193"/>
    <mergeCell ref="B191:B193"/>
    <mergeCell ref="C191:C193"/>
    <mergeCell ref="J191:J193"/>
    <mergeCell ref="K191:K193"/>
    <mergeCell ref="A194:A196"/>
    <mergeCell ref="B194:B196"/>
    <mergeCell ref="C194:C196"/>
    <mergeCell ref="J194:J196"/>
    <mergeCell ref="K194:K196"/>
    <mergeCell ref="A197:A199"/>
    <mergeCell ref="B197:B199"/>
    <mergeCell ref="C197:C199"/>
    <mergeCell ref="J197:J199"/>
    <mergeCell ref="K197:K199"/>
    <mergeCell ref="A200:A202"/>
    <mergeCell ref="B200:B202"/>
    <mergeCell ref="C200:C202"/>
    <mergeCell ref="J200:J202"/>
    <mergeCell ref="K200:K202"/>
    <mergeCell ref="A203:A205"/>
    <mergeCell ref="B203:B205"/>
    <mergeCell ref="C203:C205"/>
    <mergeCell ref="J203:J205"/>
    <mergeCell ref="K203:K205"/>
    <mergeCell ref="A206:A208"/>
    <mergeCell ref="B206:B208"/>
    <mergeCell ref="C206:C208"/>
    <mergeCell ref="J206:J208"/>
    <mergeCell ref="K206:K208"/>
    <mergeCell ref="A209:A211"/>
    <mergeCell ref="B209:B211"/>
    <mergeCell ref="C209:C211"/>
    <mergeCell ref="J209:J211"/>
    <mergeCell ref="K209:K211"/>
    <mergeCell ref="A212:A214"/>
    <mergeCell ref="B212:B214"/>
    <mergeCell ref="C212:C214"/>
    <mergeCell ref="J212:J214"/>
    <mergeCell ref="K212:K214"/>
    <mergeCell ref="A215:A217"/>
    <mergeCell ref="B215:B217"/>
    <mergeCell ref="C215:C217"/>
    <mergeCell ref="J215:J217"/>
    <mergeCell ref="K215:K217"/>
    <mergeCell ref="A218:A220"/>
    <mergeCell ref="B218:B220"/>
    <mergeCell ref="C218:C220"/>
    <mergeCell ref="J218:J220"/>
    <mergeCell ref="K218:K220"/>
    <mergeCell ref="A221:A223"/>
    <mergeCell ref="B221:B223"/>
    <mergeCell ref="C221:C223"/>
    <mergeCell ref="J221:J223"/>
    <mergeCell ref="K221:K223"/>
    <mergeCell ref="A224:A226"/>
    <mergeCell ref="B224:B226"/>
    <mergeCell ref="C224:C226"/>
    <mergeCell ref="J224:J226"/>
    <mergeCell ref="K224:K226"/>
    <mergeCell ref="A227:A229"/>
    <mergeCell ref="B227:B229"/>
    <mergeCell ref="C227:C229"/>
    <mergeCell ref="J227:J229"/>
    <mergeCell ref="K227:K229"/>
    <mergeCell ref="A230:A232"/>
    <mergeCell ref="B230:B232"/>
    <mergeCell ref="C230:C232"/>
    <mergeCell ref="J230:J232"/>
    <mergeCell ref="K230:K232"/>
    <mergeCell ref="A233:A235"/>
    <mergeCell ref="B233:B235"/>
    <mergeCell ref="C233:C235"/>
    <mergeCell ref="J233:J235"/>
    <mergeCell ref="K233:K235"/>
    <mergeCell ref="A236:A238"/>
    <mergeCell ref="B236:B238"/>
    <mergeCell ref="C236:C238"/>
    <mergeCell ref="J236:J238"/>
    <mergeCell ref="K236:K238"/>
    <mergeCell ref="A239:A241"/>
    <mergeCell ref="B239:B241"/>
    <mergeCell ref="C239:C241"/>
    <mergeCell ref="J239:J241"/>
    <mergeCell ref="K239:K241"/>
    <mergeCell ref="A242:A244"/>
    <mergeCell ref="B242:B244"/>
    <mergeCell ref="C242:C244"/>
    <mergeCell ref="J242:J244"/>
    <mergeCell ref="K242:K244"/>
    <mergeCell ref="A245:A247"/>
    <mergeCell ref="B245:B247"/>
    <mergeCell ref="C245:C247"/>
    <mergeCell ref="J245:J247"/>
    <mergeCell ref="K245:K247"/>
    <mergeCell ref="A248:A250"/>
    <mergeCell ref="B248:B250"/>
    <mergeCell ref="C248:C250"/>
    <mergeCell ref="J248:J250"/>
    <mergeCell ref="K248:K250"/>
    <mergeCell ref="A251:A253"/>
    <mergeCell ref="B251:B253"/>
    <mergeCell ref="C251:C253"/>
    <mergeCell ref="J251:J253"/>
    <mergeCell ref="K251:K253"/>
    <mergeCell ref="A254:A256"/>
    <mergeCell ref="B254:B256"/>
    <mergeCell ref="C254:C256"/>
    <mergeCell ref="J254:J256"/>
    <mergeCell ref="K254:K256"/>
    <mergeCell ref="A257:A259"/>
    <mergeCell ref="B257:B259"/>
    <mergeCell ref="C257:C259"/>
    <mergeCell ref="J257:J259"/>
    <mergeCell ref="K257:K259"/>
    <mergeCell ref="A260:A262"/>
    <mergeCell ref="B260:B262"/>
    <mergeCell ref="C260:C262"/>
    <mergeCell ref="J260:J262"/>
    <mergeCell ref="K260:K262"/>
    <mergeCell ref="A263:A265"/>
    <mergeCell ref="B263:B265"/>
    <mergeCell ref="C263:C265"/>
    <mergeCell ref="J263:J265"/>
    <mergeCell ref="K263:K265"/>
    <mergeCell ref="A266:A268"/>
    <mergeCell ref="B266:B268"/>
    <mergeCell ref="C266:C268"/>
    <mergeCell ref="J266:J268"/>
    <mergeCell ref="K266:K268"/>
    <mergeCell ref="A275:A277"/>
    <mergeCell ref="B275:B277"/>
    <mergeCell ref="C275:C277"/>
    <mergeCell ref="J275:J277"/>
    <mergeCell ref="K275:K277"/>
    <mergeCell ref="A269:A271"/>
    <mergeCell ref="B269:B271"/>
    <mergeCell ref="C269:C271"/>
    <mergeCell ref="J269:J271"/>
    <mergeCell ref="K269:K271"/>
    <mergeCell ref="A272:A274"/>
    <mergeCell ref="B272:B274"/>
    <mergeCell ref="C272:C274"/>
    <mergeCell ref="J272:J274"/>
    <mergeCell ref="K272:K274"/>
  </mergeCells>
  <printOptions horizontalCentered="1" verticalCentered="1"/>
  <pageMargins left="0.11811023622047245" right="0.11811023622047245" top="0.15748031496062992" bottom="0.15748031496062992" header="0.11811023622047245" footer="0.11811023622047245"/>
  <pageSetup paperSize="9" scale="62" orientation="landscape" r:id="rId1"/>
  <rowBreaks count="4" manualBreakCount="4">
    <brk id="49" max="10" man="1"/>
    <brk id="94" max="10" man="1"/>
    <brk id="154" max="10" man="1"/>
    <brk id="22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4"/>
  <sheetViews>
    <sheetView zoomScale="90" zoomScaleNormal="90" workbookViewId="0">
      <selection activeCell="B45" sqref="A45:XFD48"/>
    </sheetView>
  </sheetViews>
  <sheetFormatPr defaultColWidth="8.85546875" defaultRowHeight="12.75"/>
  <cols>
    <col min="1" max="1" width="6.7109375" style="120" customWidth="1"/>
    <col min="2" max="2" width="61.85546875" style="120" customWidth="1"/>
    <col min="3" max="3" width="19.28515625" style="120" customWidth="1"/>
    <col min="4" max="4" width="19.42578125" style="349" customWidth="1"/>
    <col min="5" max="5" width="9.7109375" style="120" customWidth="1"/>
    <col min="6" max="6" width="23.7109375" style="120" customWidth="1"/>
    <col min="7" max="7" width="18.7109375" style="120" customWidth="1"/>
    <col min="8" max="8" width="17.7109375" style="120" customWidth="1"/>
    <col min="9" max="9" width="29.28515625" style="120" customWidth="1"/>
    <col min="10" max="256" width="9.140625" style="120"/>
    <col min="257" max="257" width="6.7109375" style="120" customWidth="1"/>
    <col min="258" max="258" width="61.85546875" style="120" customWidth="1"/>
    <col min="259" max="259" width="19.28515625" style="120" customWidth="1"/>
    <col min="260" max="260" width="19.42578125" style="120" customWidth="1"/>
    <col min="261" max="261" width="9.7109375" style="120" customWidth="1"/>
    <col min="262" max="262" width="23.7109375" style="120" customWidth="1"/>
    <col min="263" max="263" width="18.7109375" style="120" customWidth="1"/>
    <col min="264" max="264" width="17.7109375" style="120" customWidth="1"/>
    <col min="265" max="265" width="29.28515625" style="120" customWidth="1"/>
    <col min="266" max="512" width="9.140625" style="120"/>
    <col min="513" max="513" width="6.7109375" style="120" customWidth="1"/>
    <col min="514" max="514" width="61.85546875" style="120" customWidth="1"/>
    <col min="515" max="515" width="19.28515625" style="120" customWidth="1"/>
    <col min="516" max="516" width="19.42578125" style="120" customWidth="1"/>
    <col min="517" max="517" width="9.7109375" style="120" customWidth="1"/>
    <col min="518" max="518" width="23.7109375" style="120" customWidth="1"/>
    <col min="519" max="519" width="18.7109375" style="120" customWidth="1"/>
    <col min="520" max="520" width="17.7109375" style="120" customWidth="1"/>
    <col min="521" max="521" width="29.28515625" style="120" customWidth="1"/>
    <col min="522" max="768" width="9.140625" style="120"/>
    <col min="769" max="769" width="6.7109375" style="120" customWidth="1"/>
    <col min="770" max="770" width="61.85546875" style="120" customWidth="1"/>
    <col min="771" max="771" width="19.28515625" style="120" customWidth="1"/>
    <col min="772" max="772" width="19.42578125" style="120" customWidth="1"/>
    <col min="773" max="773" width="9.7109375" style="120" customWidth="1"/>
    <col min="774" max="774" width="23.7109375" style="120" customWidth="1"/>
    <col min="775" max="775" width="18.7109375" style="120" customWidth="1"/>
    <col min="776" max="776" width="17.7109375" style="120" customWidth="1"/>
    <col min="777" max="777" width="29.28515625" style="120" customWidth="1"/>
    <col min="778" max="1024" width="9.140625" style="120"/>
    <col min="1025" max="1025" width="6.7109375" style="120" customWidth="1"/>
    <col min="1026" max="1026" width="61.85546875" style="120" customWidth="1"/>
    <col min="1027" max="1027" width="19.28515625" style="120" customWidth="1"/>
    <col min="1028" max="1028" width="19.42578125" style="120" customWidth="1"/>
    <col min="1029" max="1029" width="9.7109375" style="120" customWidth="1"/>
    <col min="1030" max="1030" width="23.7109375" style="120" customWidth="1"/>
    <col min="1031" max="1031" width="18.7109375" style="120" customWidth="1"/>
    <col min="1032" max="1032" width="17.7109375" style="120" customWidth="1"/>
    <col min="1033" max="1033" width="29.28515625" style="120" customWidth="1"/>
    <col min="1034" max="1280" width="9.140625" style="120"/>
    <col min="1281" max="1281" width="6.7109375" style="120" customWidth="1"/>
    <col min="1282" max="1282" width="61.85546875" style="120" customWidth="1"/>
    <col min="1283" max="1283" width="19.28515625" style="120" customWidth="1"/>
    <col min="1284" max="1284" width="19.42578125" style="120" customWidth="1"/>
    <col min="1285" max="1285" width="9.7109375" style="120" customWidth="1"/>
    <col min="1286" max="1286" width="23.7109375" style="120" customWidth="1"/>
    <col min="1287" max="1287" width="18.7109375" style="120" customWidth="1"/>
    <col min="1288" max="1288" width="17.7109375" style="120" customWidth="1"/>
    <col min="1289" max="1289" width="29.28515625" style="120" customWidth="1"/>
    <col min="1290" max="1536" width="9.140625" style="120"/>
    <col min="1537" max="1537" width="6.7109375" style="120" customWidth="1"/>
    <col min="1538" max="1538" width="61.85546875" style="120" customWidth="1"/>
    <col min="1539" max="1539" width="19.28515625" style="120" customWidth="1"/>
    <col min="1540" max="1540" width="19.42578125" style="120" customWidth="1"/>
    <col min="1541" max="1541" width="9.7109375" style="120" customWidth="1"/>
    <col min="1542" max="1542" width="23.7109375" style="120" customWidth="1"/>
    <col min="1543" max="1543" width="18.7109375" style="120" customWidth="1"/>
    <col min="1544" max="1544" width="17.7109375" style="120" customWidth="1"/>
    <col min="1545" max="1545" width="29.28515625" style="120" customWidth="1"/>
    <col min="1546" max="1792" width="9.140625" style="120"/>
    <col min="1793" max="1793" width="6.7109375" style="120" customWidth="1"/>
    <col min="1794" max="1794" width="61.85546875" style="120" customWidth="1"/>
    <col min="1795" max="1795" width="19.28515625" style="120" customWidth="1"/>
    <col min="1796" max="1796" width="19.42578125" style="120" customWidth="1"/>
    <col min="1797" max="1797" width="9.7109375" style="120" customWidth="1"/>
    <col min="1798" max="1798" width="23.7109375" style="120" customWidth="1"/>
    <col min="1799" max="1799" width="18.7109375" style="120" customWidth="1"/>
    <col min="1800" max="1800" width="17.7109375" style="120" customWidth="1"/>
    <col min="1801" max="1801" width="29.28515625" style="120" customWidth="1"/>
    <col min="1802" max="2048" width="9.140625" style="120"/>
    <col min="2049" max="2049" width="6.7109375" style="120" customWidth="1"/>
    <col min="2050" max="2050" width="61.85546875" style="120" customWidth="1"/>
    <col min="2051" max="2051" width="19.28515625" style="120" customWidth="1"/>
    <col min="2052" max="2052" width="19.42578125" style="120" customWidth="1"/>
    <col min="2053" max="2053" width="9.7109375" style="120" customWidth="1"/>
    <col min="2054" max="2054" width="23.7109375" style="120" customWidth="1"/>
    <col min="2055" max="2055" width="18.7109375" style="120" customWidth="1"/>
    <col min="2056" max="2056" width="17.7109375" style="120" customWidth="1"/>
    <col min="2057" max="2057" width="29.28515625" style="120" customWidth="1"/>
    <col min="2058" max="2304" width="9.140625" style="120"/>
    <col min="2305" max="2305" width="6.7109375" style="120" customWidth="1"/>
    <col min="2306" max="2306" width="61.85546875" style="120" customWidth="1"/>
    <col min="2307" max="2307" width="19.28515625" style="120" customWidth="1"/>
    <col min="2308" max="2308" width="19.42578125" style="120" customWidth="1"/>
    <col min="2309" max="2309" width="9.7109375" style="120" customWidth="1"/>
    <col min="2310" max="2310" width="23.7109375" style="120" customWidth="1"/>
    <col min="2311" max="2311" width="18.7109375" style="120" customWidth="1"/>
    <col min="2312" max="2312" width="17.7109375" style="120" customWidth="1"/>
    <col min="2313" max="2313" width="29.28515625" style="120" customWidth="1"/>
    <col min="2314" max="2560" width="9.140625" style="120"/>
    <col min="2561" max="2561" width="6.7109375" style="120" customWidth="1"/>
    <col min="2562" max="2562" width="61.85546875" style="120" customWidth="1"/>
    <col min="2563" max="2563" width="19.28515625" style="120" customWidth="1"/>
    <col min="2564" max="2564" width="19.42578125" style="120" customWidth="1"/>
    <col min="2565" max="2565" width="9.7109375" style="120" customWidth="1"/>
    <col min="2566" max="2566" width="23.7109375" style="120" customWidth="1"/>
    <col min="2567" max="2567" width="18.7109375" style="120" customWidth="1"/>
    <col min="2568" max="2568" width="17.7109375" style="120" customWidth="1"/>
    <col min="2569" max="2569" width="29.28515625" style="120" customWidth="1"/>
    <col min="2570" max="2816" width="9.140625" style="120"/>
    <col min="2817" max="2817" width="6.7109375" style="120" customWidth="1"/>
    <col min="2818" max="2818" width="61.85546875" style="120" customWidth="1"/>
    <col min="2819" max="2819" width="19.28515625" style="120" customWidth="1"/>
    <col min="2820" max="2820" width="19.42578125" style="120" customWidth="1"/>
    <col min="2821" max="2821" width="9.7109375" style="120" customWidth="1"/>
    <col min="2822" max="2822" width="23.7109375" style="120" customWidth="1"/>
    <col min="2823" max="2823" width="18.7109375" style="120" customWidth="1"/>
    <col min="2824" max="2824" width="17.7109375" style="120" customWidth="1"/>
    <col min="2825" max="2825" width="29.28515625" style="120" customWidth="1"/>
    <col min="2826" max="3072" width="9.140625" style="120"/>
    <col min="3073" max="3073" width="6.7109375" style="120" customWidth="1"/>
    <col min="3074" max="3074" width="61.85546875" style="120" customWidth="1"/>
    <col min="3075" max="3075" width="19.28515625" style="120" customWidth="1"/>
    <col min="3076" max="3076" width="19.42578125" style="120" customWidth="1"/>
    <col min="3077" max="3077" width="9.7109375" style="120" customWidth="1"/>
    <col min="3078" max="3078" width="23.7109375" style="120" customWidth="1"/>
    <col min="3079" max="3079" width="18.7109375" style="120" customWidth="1"/>
    <col min="3080" max="3080" width="17.7109375" style="120" customWidth="1"/>
    <col min="3081" max="3081" width="29.28515625" style="120" customWidth="1"/>
    <col min="3082" max="3328" width="9.140625" style="120"/>
    <col min="3329" max="3329" width="6.7109375" style="120" customWidth="1"/>
    <col min="3330" max="3330" width="61.85546875" style="120" customWidth="1"/>
    <col min="3331" max="3331" width="19.28515625" style="120" customWidth="1"/>
    <col min="3332" max="3332" width="19.42578125" style="120" customWidth="1"/>
    <col min="3333" max="3333" width="9.7109375" style="120" customWidth="1"/>
    <col min="3334" max="3334" width="23.7109375" style="120" customWidth="1"/>
    <col min="3335" max="3335" width="18.7109375" style="120" customWidth="1"/>
    <col min="3336" max="3336" width="17.7109375" style="120" customWidth="1"/>
    <col min="3337" max="3337" width="29.28515625" style="120" customWidth="1"/>
    <col min="3338" max="3584" width="9.140625" style="120"/>
    <col min="3585" max="3585" width="6.7109375" style="120" customWidth="1"/>
    <col min="3586" max="3586" width="61.85546875" style="120" customWidth="1"/>
    <col min="3587" max="3587" width="19.28515625" style="120" customWidth="1"/>
    <col min="3588" max="3588" width="19.42578125" style="120" customWidth="1"/>
    <col min="3589" max="3589" width="9.7109375" style="120" customWidth="1"/>
    <col min="3590" max="3590" width="23.7109375" style="120" customWidth="1"/>
    <col min="3591" max="3591" width="18.7109375" style="120" customWidth="1"/>
    <col min="3592" max="3592" width="17.7109375" style="120" customWidth="1"/>
    <col min="3593" max="3593" width="29.28515625" style="120" customWidth="1"/>
    <col min="3594" max="3840" width="9.140625" style="120"/>
    <col min="3841" max="3841" width="6.7109375" style="120" customWidth="1"/>
    <col min="3842" max="3842" width="61.85546875" style="120" customWidth="1"/>
    <col min="3843" max="3843" width="19.28515625" style="120" customWidth="1"/>
    <col min="3844" max="3844" width="19.42578125" style="120" customWidth="1"/>
    <col min="3845" max="3845" width="9.7109375" style="120" customWidth="1"/>
    <col min="3846" max="3846" width="23.7109375" style="120" customWidth="1"/>
    <col min="3847" max="3847" width="18.7109375" style="120" customWidth="1"/>
    <col min="3848" max="3848" width="17.7109375" style="120" customWidth="1"/>
    <col min="3849" max="3849" width="29.28515625" style="120" customWidth="1"/>
    <col min="3850" max="4096" width="9.140625" style="120"/>
    <col min="4097" max="4097" width="6.7109375" style="120" customWidth="1"/>
    <col min="4098" max="4098" width="61.85546875" style="120" customWidth="1"/>
    <col min="4099" max="4099" width="19.28515625" style="120" customWidth="1"/>
    <col min="4100" max="4100" width="19.42578125" style="120" customWidth="1"/>
    <col min="4101" max="4101" width="9.7109375" style="120" customWidth="1"/>
    <col min="4102" max="4102" width="23.7109375" style="120" customWidth="1"/>
    <col min="4103" max="4103" width="18.7109375" style="120" customWidth="1"/>
    <col min="4104" max="4104" width="17.7109375" style="120" customWidth="1"/>
    <col min="4105" max="4105" width="29.28515625" style="120" customWidth="1"/>
    <col min="4106" max="4352" width="9.140625" style="120"/>
    <col min="4353" max="4353" width="6.7109375" style="120" customWidth="1"/>
    <col min="4354" max="4354" width="61.85546875" style="120" customWidth="1"/>
    <col min="4355" max="4355" width="19.28515625" style="120" customWidth="1"/>
    <col min="4356" max="4356" width="19.42578125" style="120" customWidth="1"/>
    <col min="4357" max="4357" width="9.7109375" style="120" customWidth="1"/>
    <col min="4358" max="4358" width="23.7109375" style="120" customWidth="1"/>
    <col min="4359" max="4359" width="18.7109375" style="120" customWidth="1"/>
    <col min="4360" max="4360" width="17.7109375" style="120" customWidth="1"/>
    <col min="4361" max="4361" width="29.28515625" style="120" customWidth="1"/>
    <col min="4362" max="4608" width="9.140625" style="120"/>
    <col min="4609" max="4609" width="6.7109375" style="120" customWidth="1"/>
    <col min="4610" max="4610" width="61.85546875" style="120" customWidth="1"/>
    <col min="4611" max="4611" width="19.28515625" style="120" customWidth="1"/>
    <col min="4612" max="4612" width="19.42578125" style="120" customWidth="1"/>
    <col min="4613" max="4613" width="9.7109375" style="120" customWidth="1"/>
    <col min="4614" max="4614" width="23.7109375" style="120" customWidth="1"/>
    <col min="4615" max="4615" width="18.7109375" style="120" customWidth="1"/>
    <col min="4616" max="4616" width="17.7109375" style="120" customWidth="1"/>
    <col min="4617" max="4617" width="29.28515625" style="120" customWidth="1"/>
    <col min="4618" max="4864" width="9.140625" style="120"/>
    <col min="4865" max="4865" width="6.7109375" style="120" customWidth="1"/>
    <col min="4866" max="4866" width="61.85546875" style="120" customWidth="1"/>
    <col min="4867" max="4867" width="19.28515625" style="120" customWidth="1"/>
    <col min="4868" max="4868" width="19.42578125" style="120" customWidth="1"/>
    <col min="4869" max="4869" width="9.7109375" style="120" customWidth="1"/>
    <col min="4870" max="4870" width="23.7109375" style="120" customWidth="1"/>
    <col min="4871" max="4871" width="18.7109375" style="120" customWidth="1"/>
    <col min="4872" max="4872" width="17.7109375" style="120" customWidth="1"/>
    <col min="4873" max="4873" width="29.28515625" style="120" customWidth="1"/>
    <col min="4874" max="5120" width="9.140625" style="120"/>
    <col min="5121" max="5121" width="6.7109375" style="120" customWidth="1"/>
    <col min="5122" max="5122" width="61.85546875" style="120" customWidth="1"/>
    <col min="5123" max="5123" width="19.28515625" style="120" customWidth="1"/>
    <col min="5124" max="5124" width="19.42578125" style="120" customWidth="1"/>
    <col min="5125" max="5125" width="9.7109375" style="120" customWidth="1"/>
    <col min="5126" max="5126" width="23.7109375" style="120" customWidth="1"/>
    <col min="5127" max="5127" width="18.7109375" style="120" customWidth="1"/>
    <col min="5128" max="5128" width="17.7109375" style="120" customWidth="1"/>
    <col min="5129" max="5129" width="29.28515625" style="120" customWidth="1"/>
    <col min="5130" max="5376" width="9.140625" style="120"/>
    <col min="5377" max="5377" width="6.7109375" style="120" customWidth="1"/>
    <col min="5378" max="5378" width="61.85546875" style="120" customWidth="1"/>
    <col min="5379" max="5379" width="19.28515625" style="120" customWidth="1"/>
    <col min="5380" max="5380" width="19.42578125" style="120" customWidth="1"/>
    <col min="5381" max="5381" width="9.7109375" style="120" customWidth="1"/>
    <col min="5382" max="5382" width="23.7109375" style="120" customWidth="1"/>
    <col min="5383" max="5383" width="18.7109375" style="120" customWidth="1"/>
    <col min="5384" max="5384" width="17.7109375" style="120" customWidth="1"/>
    <col min="5385" max="5385" width="29.28515625" style="120" customWidth="1"/>
    <col min="5386" max="5632" width="9.140625" style="120"/>
    <col min="5633" max="5633" width="6.7109375" style="120" customWidth="1"/>
    <col min="5634" max="5634" width="61.85546875" style="120" customWidth="1"/>
    <col min="5635" max="5635" width="19.28515625" style="120" customWidth="1"/>
    <col min="5636" max="5636" width="19.42578125" style="120" customWidth="1"/>
    <col min="5637" max="5637" width="9.7109375" style="120" customWidth="1"/>
    <col min="5638" max="5638" width="23.7109375" style="120" customWidth="1"/>
    <col min="5639" max="5639" width="18.7109375" style="120" customWidth="1"/>
    <col min="5640" max="5640" width="17.7109375" style="120" customWidth="1"/>
    <col min="5641" max="5641" width="29.28515625" style="120" customWidth="1"/>
    <col min="5642" max="5888" width="9.140625" style="120"/>
    <col min="5889" max="5889" width="6.7109375" style="120" customWidth="1"/>
    <col min="5890" max="5890" width="61.85546875" style="120" customWidth="1"/>
    <col min="5891" max="5891" width="19.28515625" style="120" customWidth="1"/>
    <col min="5892" max="5892" width="19.42578125" style="120" customWidth="1"/>
    <col min="5893" max="5893" width="9.7109375" style="120" customWidth="1"/>
    <col min="5894" max="5894" width="23.7109375" style="120" customWidth="1"/>
    <col min="5895" max="5895" width="18.7109375" style="120" customWidth="1"/>
    <col min="5896" max="5896" width="17.7109375" style="120" customWidth="1"/>
    <col min="5897" max="5897" width="29.28515625" style="120" customWidth="1"/>
    <col min="5898" max="6144" width="9.140625" style="120"/>
    <col min="6145" max="6145" width="6.7109375" style="120" customWidth="1"/>
    <col min="6146" max="6146" width="61.85546875" style="120" customWidth="1"/>
    <col min="6147" max="6147" width="19.28515625" style="120" customWidth="1"/>
    <col min="6148" max="6148" width="19.42578125" style="120" customWidth="1"/>
    <col min="6149" max="6149" width="9.7109375" style="120" customWidth="1"/>
    <col min="6150" max="6150" width="23.7109375" style="120" customWidth="1"/>
    <col min="6151" max="6151" width="18.7109375" style="120" customWidth="1"/>
    <col min="6152" max="6152" width="17.7109375" style="120" customWidth="1"/>
    <col min="6153" max="6153" width="29.28515625" style="120" customWidth="1"/>
    <col min="6154" max="6400" width="9.140625" style="120"/>
    <col min="6401" max="6401" width="6.7109375" style="120" customWidth="1"/>
    <col min="6402" max="6402" width="61.85546875" style="120" customWidth="1"/>
    <col min="6403" max="6403" width="19.28515625" style="120" customWidth="1"/>
    <col min="6404" max="6404" width="19.42578125" style="120" customWidth="1"/>
    <col min="6405" max="6405" width="9.7109375" style="120" customWidth="1"/>
    <col min="6406" max="6406" width="23.7109375" style="120" customWidth="1"/>
    <col min="6407" max="6407" width="18.7109375" style="120" customWidth="1"/>
    <col min="6408" max="6408" width="17.7109375" style="120" customWidth="1"/>
    <col min="6409" max="6409" width="29.28515625" style="120" customWidth="1"/>
    <col min="6410" max="6656" width="9.140625" style="120"/>
    <col min="6657" max="6657" width="6.7109375" style="120" customWidth="1"/>
    <col min="6658" max="6658" width="61.85546875" style="120" customWidth="1"/>
    <col min="6659" max="6659" width="19.28515625" style="120" customWidth="1"/>
    <col min="6660" max="6660" width="19.42578125" style="120" customWidth="1"/>
    <col min="6661" max="6661" width="9.7109375" style="120" customWidth="1"/>
    <col min="6662" max="6662" width="23.7109375" style="120" customWidth="1"/>
    <col min="6663" max="6663" width="18.7109375" style="120" customWidth="1"/>
    <col min="6664" max="6664" width="17.7109375" style="120" customWidth="1"/>
    <col min="6665" max="6665" width="29.28515625" style="120" customWidth="1"/>
    <col min="6666" max="6912" width="9.140625" style="120"/>
    <col min="6913" max="6913" width="6.7109375" style="120" customWidth="1"/>
    <col min="6914" max="6914" width="61.85546875" style="120" customWidth="1"/>
    <col min="6915" max="6915" width="19.28515625" style="120" customWidth="1"/>
    <col min="6916" max="6916" width="19.42578125" style="120" customWidth="1"/>
    <col min="6917" max="6917" width="9.7109375" style="120" customWidth="1"/>
    <col min="6918" max="6918" width="23.7109375" style="120" customWidth="1"/>
    <col min="6919" max="6919" width="18.7109375" style="120" customWidth="1"/>
    <col min="6920" max="6920" width="17.7109375" style="120" customWidth="1"/>
    <col min="6921" max="6921" width="29.28515625" style="120" customWidth="1"/>
    <col min="6922" max="7168" width="9.140625" style="120"/>
    <col min="7169" max="7169" width="6.7109375" style="120" customWidth="1"/>
    <col min="7170" max="7170" width="61.85546875" style="120" customWidth="1"/>
    <col min="7171" max="7171" width="19.28515625" style="120" customWidth="1"/>
    <col min="7172" max="7172" width="19.42578125" style="120" customWidth="1"/>
    <col min="7173" max="7173" width="9.7109375" style="120" customWidth="1"/>
    <col min="7174" max="7174" width="23.7109375" style="120" customWidth="1"/>
    <col min="7175" max="7175" width="18.7109375" style="120" customWidth="1"/>
    <col min="7176" max="7176" width="17.7109375" style="120" customWidth="1"/>
    <col min="7177" max="7177" width="29.28515625" style="120" customWidth="1"/>
    <col min="7178" max="7424" width="9.140625" style="120"/>
    <col min="7425" max="7425" width="6.7109375" style="120" customWidth="1"/>
    <col min="7426" max="7426" width="61.85546875" style="120" customWidth="1"/>
    <col min="7427" max="7427" width="19.28515625" style="120" customWidth="1"/>
    <col min="7428" max="7428" width="19.42578125" style="120" customWidth="1"/>
    <col min="7429" max="7429" width="9.7109375" style="120" customWidth="1"/>
    <col min="7430" max="7430" width="23.7109375" style="120" customWidth="1"/>
    <col min="7431" max="7431" width="18.7109375" style="120" customWidth="1"/>
    <col min="7432" max="7432" width="17.7109375" style="120" customWidth="1"/>
    <col min="7433" max="7433" width="29.28515625" style="120" customWidth="1"/>
    <col min="7434" max="7680" width="9.140625" style="120"/>
    <col min="7681" max="7681" width="6.7109375" style="120" customWidth="1"/>
    <col min="7682" max="7682" width="61.85546875" style="120" customWidth="1"/>
    <col min="7683" max="7683" width="19.28515625" style="120" customWidth="1"/>
    <col min="7684" max="7684" width="19.42578125" style="120" customWidth="1"/>
    <col min="7685" max="7685" width="9.7109375" style="120" customWidth="1"/>
    <col min="7686" max="7686" width="23.7109375" style="120" customWidth="1"/>
    <col min="7687" max="7687" width="18.7109375" style="120" customWidth="1"/>
    <col min="7688" max="7688" width="17.7109375" style="120" customWidth="1"/>
    <col min="7689" max="7689" width="29.28515625" style="120" customWidth="1"/>
    <col min="7690" max="7936" width="9.140625" style="120"/>
    <col min="7937" max="7937" width="6.7109375" style="120" customWidth="1"/>
    <col min="7938" max="7938" width="61.85546875" style="120" customWidth="1"/>
    <col min="7939" max="7939" width="19.28515625" style="120" customWidth="1"/>
    <col min="7940" max="7940" width="19.42578125" style="120" customWidth="1"/>
    <col min="7941" max="7941" width="9.7109375" style="120" customWidth="1"/>
    <col min="7942" max="7942" width="23.7109375" style="120" customWidth="1"/>
    <col min="7943" max="7943" width="18.7109375" style="120" customWidth="1"/>
    <col min="7944" max="7944" width="17.7109375" style="120" customWidth="1"/>
    <col min="7945" max="7945" width="29.28515625" style="120" customWidth="1"/>
    <col min="7946" max="8192" width="9.140625" style="120"/>
    <col min="8193" max="8193" width="6.7109375" style="120" customWidth="1"/>
    <col min="8194" max="8194" width="61.85546875" style="120" customWidth="1"/>
    <col min="8195" max="8195" width="19.28515625" style="120" customWidth="1"/>
    <col min="8196" max="8196" width="19.42578125" style="120" customWidth="1"/>
    <col min="8197" max="8197" width="9.7109375" style="120" customWidth="1"/>
    <col min="8198" max="8198" width="23.7109375" style="120" customWidth="1"/>
    <col min="8199" max="8199" width="18.7109375" style="120" customWidth="1"/>
    <col min="8200" max="8200" width="17.7109375" style="120" customWidth="1"/>
    <col min="8201" max="8201" width="29.28515625" style="120" customWidth="1"/>
    <col min="8202" max="8448" width="9.140625" style="120"/>
    <col min="8449" max="8449" width="6.7109375" style="120" customWidth="1"/>
    <col min="8450" max="8450" width="61.85546875" style="120" customWidth="1"/>
    <col min="8451" max="8451" width="19.28515625" style="120" customWidth="1"/>
    <col min="8452" max="8452" width="19.42578125" style="120" customWidth="1"/>
    <col min="8453" max="8453" width="9.7109375" style="120" customWidth="1"/>
    <col min="8454" max="8454" width="23.7109375" style="120" customWidth="1"/>
    <col min="8455" max="8455" width="18.7109375" style="120" customWidth="1"/>
    <col min="8456" max="8456" width="17.7109375" style="120" customWidth="1"/>
    <col min="8457" max="8457" width="29.28515625" style="120" customWidth="1"/>
    <col min="8458" max="8704" width="9.140625" style="120"/>
    <col min="8705" max="8705" width="6.7109375" style="120" customWidth="1"/>
    <col min="8706" max="8706" width="61.85546875" style="120" customWidth="1"/>
    <col min="8707" max="8707" width="19.28515625" style="120" customWidth="1"/>
    <col min="8708" max="8708" width="19.42578125" style="120" customWidth="1"/>
    <col min="8709" max="8709" width="9.7109375" style="120" customWidth="1"/>
    <col min="8710" max="8710" width="23.7109375" style="120" customWidth="1"/>
    <col min="8711" max="8711" width="18.7109375" style="120" customWidth="1"/>
    <col min="8712" max="8712" width="17.7109375" style="120" customWidth="1"/>
    <col min="8713" max="8713" width="29.28515625" style="120" customWidth="1"/>
    <col min="8714" max="8960" width="9.140625" style="120"/>
    <col min="8961" max="8961" width="6.7109375" style="120" customWidth="1"/>
    <col min="8962" max="8962" width="61.85546875" style="120" customWidth="1"/>
    <col min="8963" max="8963" width="19.28515625" style="120" customWidth="1"/>
    <col min="8964" max="8964" width="19.42578125" style="120" customWidth="1"/>
    <col min="8965" max="8965" width="9.7109375" style="120" customWidth="1"/>
    <col min="8966" max="8966" width="23.7109375" style="120" customWidth="1"/>
    <col min="8967" max="8967" width="18.7109375" style="120" customWidth="1"/>
    <col min="8968" max="8968" width="17.7109375" style="120" customWidth="1"/>
    <col min="8969" max="8969" width="29.28515625" style="120" customWidth="1"/>
    <col min="8970" max="9216" width="9.140625" style="120"/>
    <col min="9217" max="9217" width="6.7109375" style="120" customWidth="1"/>
    <col min="9218" max="9218" width="61.85546875" style="120" customWidth="1"/>
    <col min="9219" max="9219" width="19.28515625" style="120" customWidth="1"/>
    <col min="9220" max="9220" width="19.42578125" style="120" customWidth="1"/>
    <col min="9221" max="9221" width="9.7109375" style="120" customWidth="1"/>
    <col min="9222" max="9222" width="23.7109375" style="120" customWidth="1"/>
    <col min="9223" max="9223" width="18.7109375" style="120" customWidth="1"/>
    <col min="9224" max="9224" width="17.7109375" style="120" customWidth="1"/>
    <col min="9225" max="9225" width="29.28515625" style="120" customWidth="1"/>
    <col min="9226" max="9472" width="9.140625" style="120"/>
    <col min="9473" max="9473" width="6.7109375" style="120" customWidth="1"/>
    <col min="9474" max="9474" width="61.85546875" style="120" customWidth="1"/>
    <col min="9475" max="9475" width="19.28515625" style="120" customWidth="1"/>
    <col min="9476" max="9476" width="19.42578125" style="120" customWidth="1"/>
    <col min="9477" max="9477" width="9.7109375" style="120" customWidth="1"/>
    <col min="9478" max="9478" width="23.7109375" style="120" customWidth="1"/>
    <col min="9479" max="9479" width="18.7109375" style="120" customWidth="1"/>
    <col min="9480" max="9480" width="17.7109375" style="120" customWidth="1"/>
    <col min="9481" max="9481" width="29.28515625" style="120" customWidth="1"/>
    <col min="9482" max="9728" width="9.140625" style="120"/>
    <col min="9729" max="9729" width="6.7109375" style="120" customWidth="1"/>
    <col min="9730" max="9730" width="61.85546875" style="120" customWidth="1"/>
    <col min="9731" max="9731" width="19.28515625" style="120" customWidth="1"/>
    <col min="9732" max="9732" width="19.42578125" style="120" customWidth="1"/>
    <col min="9733" max="9733" width="9.7109375" style="120" customWidth="1"/>
    <col min="9734" max="9734" width="23.7109375" style="120" customWidth="1"/>
    <col min="9735" max="9735" width="18.7109375" style="120" customWidth="1"/>
    <col min="9736" max="9736" width="17.7109375" style="120" customWidth="1"/>
    <col min="9737" max="9737" width="29.28515625" style="120" customWidth="1"/>
    <col min="9738" max="9984" width="9.140625" style="120"/>
    <col min="9985" max="9985" width="6.7109375" style="120" customWidth="1"/>
    <col min="9986" max="9986" width="61.85546875" style="120" customWidth="1"/>
    <col min="9987" max="9987" width="19.28515625" style="120" customWidth="1"/>
    <col min="9988" max="9988" width="19.42578125" style="120" customWidth="1"/>
    <col min="9989" max="9989" width="9.7109375" style="120" customWidth="1"/>
    <col min="9990" max="9990" width="23.7109375" style="120" customWidth="1"/>
    <col min="9991" max="9991" width="18.7109375" style="120" customWidth="1"/>
    <col min="9992" max="9992" width="17.7109375" style="120" customWidth="1"/>
    <col min="9993" max="9993" width="29.28515625" style="120" customWidth="1"/>
    <col min="9994" max="10240" width="9.140625" style="120"/>
    <col min="10241" max="10241" width="6.7109375" style="120" customWidth="1"/>
    <col min="10242" max="10242" width="61.85546875" style="120" customWidth="1"/>
    <col min="10243" max="10243" width="19.28515625" style="120" customWidth="1"/>
    <col min="10244" max="10244" width="19.42578125" style="120" customWidth="1"/>
    <col min="10245" max="10245" width="9.7109375" style="120" customWidth="1"/>
    <col min="10246" max="10246" width="23.7109375" style="120" customWidth="1"/>
    <col min="10247" max="10247" width="18.7109375" style="120" customWidth="1"/>
    <col min="10248" max="10248" width="17.7109375" style="120" customWidth="1"/>
    <col min="10249" max="10249" width="29.28515625" style="120" customWidth="1"/>
    <col min="10250" max="10496" width="9.140625" style="120"/>
    <col min="10497" max="10497" width="6.7109375" style="120" customWidth="1"/>
    <col min="10498" max="10498" width="61.85546875" style="120" customWidth="1"/>
    <col min="10499" max="10499" width="19.28515625" style="120" customWidth="1"/>
    <col min="10500" max="10500" width="19.42578125" style="120" customWidth="1"/>
    <col min="10501" max="10501" width="9.7109375" style="120" customWidth="1"/>
    <col min="10502" max="10502" width="23.7109375" style="120" customWidth="1"/>
    <col min="10503" max="10503" width="18.7109375" style="120" customWidth="1"/>
    <col min="10504" max="10504" width="17.7109375" style="120" customWidth="1"/>
    <col min="10505" max="10505" width="29.28515625" style="120" customWidth="1"/>
    <col min="10506" max="10752" width="9.140625" style="120"/>
    <col min="10753" max="10753" width="6.7109375" style="120" customWidth="1"/>
    <col min="10754" max="10754" width="61.85546875" style="120" customWidth="1"/>
    <col min="10755" max="10755" width="19.28515625" style="120" customWidth="1"/>
    <col min="10756" max="10756" width="19.42578125" style="120" customWidth="1"/>
    <col min="10757" max="10757" width="9.7109375" style="120" customWidth="1"/>
    <col min="10758" max="10758" width="23.7109375" style="120" customWidth="1"/>
    <col min="10759" max="10759" width="18.7109375" style="120" customWidth="1"/>
    <col min="10760" max="10760" width="17.7109375" style="120" customWidth="1"/>
    <col min="10761" max="10761" width="29.28515625" style="120" customWidth="1"/>
    <col min="10762" max="11008" width="9.140625" style="120"/>
    <col min="11009" max="11009" width="6.7109375" style="120" customWidth="1"/>
    <col min="11010" max="11010" width="61.85546875" style="120" customWidth="1"/>
    <col min="11011" max="11011" width="19.28515625" style="120" customWidth="1"/>
    <col min="11012" max="11012" width="19.42578125" style="120" customWidth="1"/>
    <col min="11013" max="11013" width="9.7109375" style="120" customWidth="1"/>
    <col min="11014" max="11014" width="23.7109375" style="120" customWidth="1"/>
    <col min="11015" max="11015" width="18.7109375" style="120" customWidth="1"/>
    <col min="11016" max="11016" width="17.7109375" style="120" customWidth="1"/>
    <col min="11017" max="11017" width="29.28515625" style="120" customWidth="1"/>
    <col min="11018" max="11264" width="9.140625" style="120"/>
    <col min="11265" max="11265" width="6.7109375" style="120" customWidth="1"/>
    <col min="11266" max="11266" width="61.85546875" style="120" customWidth="1"/>
    <col min="11267" max="11267" width="19.28515625" style="120" customWidth="1"/>
    <col min="11268" max="11268" width="19.42578125" style="120" customWidth="1"/>
    <col min="11269" max="11269" width="9.7109375" style="120" customWidth="1"/>
    <col min="11270" max="11270" width="23.7109375" style="120" customWidth="1"/>
    <col min="11271" max="11271" width="18.7109375" style="120" customWidth="1"/>
    <col min="11272" max="11272" width="17.7109375" style="120" customWidth="1"/>
    <col min="11273" max="11273" width="29.28515625" style="120" customWidth="1"/>
    <col min="11274" max="11520" width="9.140625" style="120"/>
    <col min="11521" max="11521" width="6.7109375" style="120" customWidth="1"/>
    <col min="11522" max="11522" width="61.85546875" style="120" customWidth="1"/>
    <col min="11523" max="11523" width="19.28515625" style="120" customWidth="1"/>
    <col min="11524" max="11524" width="19.42578125" style="120" customWidth="1"/>
    <col min="11525" max="11525" width="9.7109375" style="120" customWidth="1"/>
    <col min="11526" max="11526" width="23.7109375" style="120" customWidth="1"/>
    <col min="11527" max="11527" width="18.7109375" style="120" customWidth="1"/>
    <col min="11528" max="11528" width="17.7109375" style="120" customWidth="1"/>
    <col min="11529" max="11529" width="29.28515625" style="120" customWidth="1"/>
    <col min="11530" max="11776" width="9.140625" style="120"/>
    <col min="11777" max="11777" width="6.7109375" style="120" customWidth="1"/>
    <col min="11778" max="11778" width="61.85546875" style="120" customWidth="1"/>
    <col min="11779" max="11779" width="19.28515625" style="120" customWidth="1"/>
    <col min="11780" max="11780" width="19.42578125" style="120" customWidth="1"/>
    <col min="11781" max="11781" width="9.7109375" style="120" customWidth="1"/>
    <col min="11782" max="11782" width="23.7109375" style="120" customWidth="1"/>
    <col min="11783" max="11783" width="18.7109375" style="120" customWidth="1"/>
    <col min="11784" max="11784" width="17.7109375" style="120" customWidth="1"/>
    <col min="11785" max="11785" width="29.28515625" style="120" customWidth="1"/>
    <col min="11786" max="12032" width="9.140625" style="120"/>
    <col min="12033" max="12033" width="6.7109375" style="120" customWidth="1"/>
    <col min="12034" max="12034" width="61.85546875" style="120" customWidth="1"/>
    <col min="12035" max="12035" width="19.28515625" style="120" customWidth="1"/>
    <col min="12036" max="12036" width="19.42578125" style="120" customWidth="1"/>
    <col min="12037" max="12037" width="9.7109375" style="120" customWidth="1"/>
    <col min="12038" max="12038" width="23.7109375" style="120" customWidth="1"/>
    <col min="12039" max="12039" width="18.7109375" style="120" customWidth="1"/>
    <col min="12040" max="12040" width="17.7109375" style="120" customWidth="1"/>
    <col min="12041" max="12041" width="29.28515625" style="120" customWidth="1"/>
    <col min="12042" max="12288" width="9.140625" style="120"/>
    <col min="12289" max="12289" width="6.7109375" style="120" customWidth="1"/>
    <col min="12290" max="12290" width="61.85546875" style="120" customWidth="1"/>
    <col min="12291" max="12291" width="19.28515625" style="120" customWidth="1"/>
    <col min="12292" max="12292" width="19.42578125" style="120" customWidth="1"/>
    <col min="12293" max="12293" width="9.7109375" style="120" customWidth="1"/>
    <col min="12294" max="12294" width="23.7109375" style="120" customWidth="1"/>
    <col min="12295" max="12295" width="18.7109375" style="120" customWidth="1"/>
    <col min="12296" max="12296" width="17.7109375" style="120" customWidth="1"/>
    <col min="12297" max="12297" width="29.28515625" style="120" customWidth="1"/>
    <col min="12298" max="12544" width="9.140625" style="120"/>
    <col min="12545" max="12545" width="6.7109375" style="120" customWidth="1"/>
    <col min="12546" max="12546" width="61.85546875" style="120" customWidth="1"/>
    <col min="12547" max="12547" width="19.28515625" style="120" customWidth="1"/>
    <col min="12548" max="12548" width="19.42578125" style="120" customWidth="1"/>
    <col min="12549" max="12549" width="9.7109375" style="120" customWidth="1"/>
    <col min="12550" max="12550" width="23.7109375" style="120" customWidth="1"/>
    <col min="12551" max="12551" width="18.7109375" style="120" customWidth="1"/>
    <col min="12552" max="12552" width="17.7109375" style="120" customWidth="1"/>
    <col min="12553" max="12553" width="29.28515625" style="120" customWidth="1"/>
    <col min="12554" max="12800" width="9.140625" style="120"/>
    <col min="12801" max="12801" width="6.7109375" style="120" customWidth="1"/>
    <col min="12802" max="12802" width="61.85546875" style="120" customWidth="1"/>
    <col min="12803" max="12803" width="19.28515625" style="120" customWidth="1"/>
    <col min="12804" max="12804" width="19.42578125" style="120" customWidth="1"/>
    <col min="12805" max="12805" width="9.7109375" style="120" customWidth="1"/>
    <col min="12806" max="12806" width="23.7109375" style="120" customWidth="1"/>
    <col min="12807" max="12807" width="18.7109375" style="120" customWidth="1"/>
    <col min="12808" max="12808" width="17.7109375" style="120" customWidth="1"/>
    <col min="12809" max="12809" width="29.28515625" style="120" customWidth="1"/>
    <col min="12810" max="13056" width="9.140625" style="120"/>
    <col min="13057" max="13057" width="6.7109375" style="120" customWidth="1"/>
    <col min="13058" max="13058" width="61.85546875" style="120" customWidth="1"/>
    <col min="13059" max="13059" width="19.28515625" style="120" customWidth="1"/>
    <col min="13060" max="13060" width="19.42578125" style="120" customWidth="1"/>
    <col min="13061" max="13061" width="9.7109375" style="120" customWidth="1"/>
    <col min="13062" max="13062" width="23.7109375" style="120" customWidth="1"/>
    <col min="13063" max="13063" width="18.7109375" style="120" customWidth="1"/>
    <col min="13064" max="13064" width="17.7109375" style="120" customWidth="1"/>
    <col min="13065" max="13065" width="29.28515625" style="120" customWidth="1"/>
    <col min="13066" max="13312" width="9.140625" style="120"/>
    <col min="13313" max="13313" width="6.7109375" style="120" customWidth="1"/>
    <col min="13314" max="13314" width="61.85546875" style="120" customWidth="1"/>
    <col min="13315" max="13315" width="19.28515625" style="120" customWidth="1"/>
    <col min="13316" max="13316" width="19.42578125" style="120" customWidth="1"/>
    <col min="13317" max="13317" width="9.7109375" style="120" customWidth="1"/>
    <col min="13318" max="13318" width="23.7109375" style="120" customWidth="1"/>
    <col min="13319" max="13319" width="18.7109375" style="120" customWidth="1"/>
    <col min="13320" max="13320" width="17.7109375" style="120" customWidth="1"/>
    <col min="13321" max="13321" width="29.28515625" style="120" customWidth="1"/>
    <col min="13322" max="13568" width="9.140625" style="120"/>
    <col min="13569" max="13569" width="6.7109375" style="120" customWidth="1"/>
    <col min="13570" max="13570" width="61.85546875" style="120" customWidth="1"/>
    <col min="13571" max="13571" width="19.28515625" style="120" customWidth="1"/>
    <col min="13572" max="13572" width="19.42578125" style="120" customWidth="1"/>
    <col min="13573" max="13573" width="9.7109375" style="120" customWidth="1"/>
    <col min="13574" max="13574" width="23.7109375" style="120" customWidth="1"/>
    <col min="13575" max="13575" width="18.7109375" style="120" customWidth="1"/>
    <col min="13576" max="13576" width="17.7109375" style="120" customWidth="1"/>
    <col min="13577" max="13577" width="29.28515625" style="120" customWidth="1"/>
    <col min="13578" max="13824" width="9.140625" style="120"/>
    <col min="13825" max="13825" width="6.7109375" style="120" customWidth="1"/>
    <col min="13826" max="13826" width="61.85546875" style="120" customWidth="1"/>
    <col min="13827" max="13827" width="19.28515625" style="120" customWidth="1"/>
    <col min="13828" max="13828" width="19.42578125" style="120" customWidth="1"/>
    <col min="13829" max="13829" width="9.7109375" style="120" customWidth="1"/>
    <col min="13830" max="13830" width="23.7109375" style="120" customWidth="1"/>
    <col min="13831" max="13831" width="18.7109375" style="120" customWidth="1"/>
    <col min="13832" max="13832" width="17.7109375" style="120" customWidth="1"/>
    <col min="13833" max="13833" width="29.28515625" style="120" customWidth="1"/>
    <col min="13834" max="14080" width="9.140625" style="120"/>
    <col min="14081" max="14081" width="6.7109375" style="120" customWidth="1"/>
    <col min="14082" max="14082" width="61.85546875" style="120" customWidth="1"/>
    <col min="14083" max="14083" width="19.28515625" style="120" customWidth="1"/>
    <col min="14084" max="14084" width="19.42578125" style="120" customWidth="1"/>
    <col min="14085" max="14085" width="9.7109375" style="120" customWidth="1"/>
    <col min="14086" max="14086" width="23.7109375" style="120" customWidth="1"/>
    <col min="14087" max="14087" width="18.7109375" style="120" customWidth="1"/>
    <col min="14088" max="14088" width="17.7109375" style="120" customWidth="1"/>
    <col min="14089" max="14089" width="29.28515625" style="120" customWidth="1"/>
    <col min="14090" max="14336" width="9.140625" style="120"/>
    <col min="14337" max="14337" width="6.7109375" style="120" customWidth="1"/>
    <col min="14338" max="14338" width="61.85546875" style="120" customWidth="1"/>
    <col min="14339" max="14339" width="19.28515625" style="120" customWidth="1"/>
    <col min="14340" max="14340" width="19.42578125" style="120" customWidth="1"/>
    <col min="14341" max="14341" width="9.7109375" style="120" customWidth="1"/>
    <col min="14342" max="14342" width="23.7109375" style="120" customWidth="1"/>
    <col min="14343" max="14343" width="18.7109375" style="120" customWidth="1"/>
    <col min="14344" max="14344" width="17.7109375" style="120" customWidth="1"/>
    <col min="14345" max="14345" width="29.28515625" style="120" customWidth="1"/>
    <col min="14346" max="14592" width="9.140625" style="120"/>
    <col min="14593" max="14593" width="6.7109375" style="120" customWidth="1"/>
    <col min="14594" max="14594" width="61.85546875" style="120" customWidth="1"/>
    <col min="14595" max="14595" width="19.28515625" style="120" customWidth="1"/>
    <col min="14596" max="14596" width="19.42578125" style="120" customWidth="1"/>
    <col min="14597" max="14597" width="9.7109375" style="120" customWidth="1"/>
    <col min="14598" max="14598" width="23.7109375" style="120" customWidth="1"/>
    <col min="14599" max="14599" width="18.7109375" style="120" customWidth="1"/>
    <col min="14600" max="14600" width="17.7109375" style="120" customWidth="1"/>
    <col min="14601" max="14601" width="29.28515625" style="120" customWidth="1"/>
    <col min="14602" max="14848" width="9.140625" style="120"/>
    <col min="14849" max="14849" width="6.7109375" style="120" customWidth="1"/>
    <col min="14850" max="14850" width="61.85546875" style="120" customWidth="1"/>
    <col min="14851" max="14851" width="19.28515625" style="120" customWidth="1"/>
    <col min="14852" max="14852" width="19.42578125" style="120" customWidth="1"/>
    <col min="14853" max="14853" width="9.7109375" style="120" customWidth="1"/>
    <col min="14854" max="14854" width="23.7109375" style="120" customWidth="1"/>
    <col min="14855" max="14855" width="18.7109375" style="120" customWidth="1"/>
    <col min="14856" max="14856" width="17.7109375" style="120" customWidth="1"/>
    <col min="14857" max="14857" width="29.28515625" style="120" customWidth="1"/>
    <col min="14858" max="15104" width="9.140625" style="120"/>
    <col min="15105" max="15105" width="6.7109375" style="120" customWidth="1"/>
    <col min="15106" max="15106" width="61.85546875" style="120" customWidth="1"/>
    <col min="15107" max="15107" width="19.28515625" style="120" customWidth="1"/>
    <col min="15108" max="15108" width="19.42578125" style="120" customWidth="1"/>
    <col min="15109" max="15109" width="9.7109375" style="120" customWidth="1"/>
    <col min="15110" max="15110" width="23.7109375" style="120" customWidth="1"/>
    <col min="15111" max="15111" width="18.7109375" style="120" customWidth="1"/>
    <col min="15112" max="15112" width="17.7109375" style="120" customWidth="1"/>
    <col min="15113" max="15113" width="29.28515625" style="120" customWidth="1"/>
    <col min="15114" max="15360" width="9.140625" style="120"/>
    <col min="15361" max="15361" width="6.7109375" style="120" customWidth="1"/>
    <col min="15362" max="15362" width="61.85546875" style="120" customWidth="1"/>
    <col min="15363" max="15363" width="19.28515625" style="120" customWidth="1"/>
    <col min="15364" max="15364" width="19.42578125" style="120" customWidth="1"/>
    <col min="15365" max="15365" width="9.7109375" style="120" customWidth="1"/>
    <col min="15366" max="15366" width="23.7109375" style="120" customWidth="1"/>
    <col min="15367" max="15367" width="18.7109375" style="120" customWidth="1"/>
    <col min="15368" max="15368" width="17.7109375" style="120" customWidth="1"/>
    <col min="15369" max="15369" width="29.28515625" style="120" customWidth="1"/>
    <col min="15370" max="15616" width="9.140625" style="120"/>
    <col min="15617" max="15617" width="6.7109375" style="120" customWidth="1"/>
    <col min="15618" max="15618" width="61.85546875" style="120" customWidth="1"/>
    <col min="15619" max="15619" width="19.28515625" style="120" customWidth="1"/>
    <col min="15620" max="15620" width="19.42578125" style="120" customWidth="1"/>
    <col min="15621" max="15621" width="9.7109375" style="120" customWidth="1"/>
    <col min="15622" max="15622" width="23.7109375" style="120" customWidth="1"/>
    <col min="15623" max="15623" width="18.7109375" style="120" customWidth="1"/>
    <col min="15624" max="15624" width="17.7109375" style="120" customWidth="1"/>
    <col min="15625" max="15625" width="29.28515625" style="120" customWidth="1"/>
    <col min="15626" max="15872" width="9.140625" style="120"/>
    <col min="15873" max="15873" width="6.7109375" style="120" customWidth="1"/>
    <col min="15874" max="15874" width="61.85546875" style="120" customWidth="1"/>
    <col min="15875" max="15875" width="19.28515625" style="120" customWidth="1"/>
    <col min="15876" max="15876" width="19.42578125" style="120" customWidth="1"/>
    <col min="15877" max="15877" width="9.7109375" style="120" customWidth="1"/>
    <col min="15878" max="15878" width="23.7109375" style="120" customWidth="1"/>
    <col min="15879" max="15879" width="18.7109375" style="120" customWidth="1"/>
    <col min="15880" max="15880" width="17.7109375" style="120" customWidth="1"/>
    <col min="15881" max="15881" width="29.28515625" style="120" customWidth="1"/>
    <col min="15882" max="16128" width="9.140625" style="120"/>
    <col min="16129" max="16129" width="6.7109375" style="120" customWidth="1"/>
    <col min="16130" max="16130" width="61.85546875" style="120" customWidth="1"/>
    <col min="16131" max="16131" width="19.28515625" style="120" customWidth="1"/>
    <col min="16132" max="16132" width="19.42578125" style="120" customWidth="1"/>
    <col min="16133" max="16133" width="9.7109375" style="120" customWidth="1"/>
    <col min="16134" max="16134" width="23.7109375" style="120" customWidth="1"/>
    <col min="16135" max="16135" width="18.7109375" style="120" customWidth="1"/>
    <col min="16136" max="16136" width="17.7109375" style="120" customWidth="1"/>
    <col min="16137" max="16137" width="29.28515625" style="120" customWidth="1"/>
    <col min="16138" max="16384" width="9.140625" style="120"/>
  </cols>
  <sheetData>
    <row r="1" spans="1:9" ht="28.35" customHeight="1">
      <c r="B1" s="797" t="s">
        <v>569</v>
      </c>
      <c r="C1" s="797"/>
      <c r="D1" s="797"/>
      <c r="E1" s="797"/>
      <c r="F1" s="797"/>
    </row>
    <row r="2" spans="1:9" ht="12" customHeight="1">
      <c r="B2" s="121"/>
      <c r="C2" s="121"/>
      <c r="D2" s="348"/>
      <c r="E2" s="121"/>
    </row>
    <row r="3" spans="1:9" ht="5.0999999999999996" customHeight="1">
      <c r="B3" s="122"/>
    </row>
    <row r="4" spans="1:9" ht="48" customHeight="1">
      <c r="A4" s="798" t="s">
        <v>456</v>
      </c>
      <c r="B4" s="800">
        <v>1588</v>
      </c>
      <c r="C4" s="123" t="s">
        <v>570</v>
      </c>
      <c r="D4" s="350" t="s">
        <v>442</v>
      </c>
      <c r="E4" s="802" t="s">
        <v>458</v>
      </c>
      <c r="F4" s="804" t="s">
        <v>459</v>
      </c>
      <c r="G4" s="806" t="s">
        <v>460</v>
      </c>
    </row>
    <row r="5" spans="1:9" ht="52.35" customHeight="1">
      <c r="A5" s="799"/>
      <c r="B5" s="801"/>
      <c r="C5" s="125" t="s">
        <v>461</v>
      </c>
      <c r="D5" s="351" t="s">
        <v>571</v>
      </c>
      <c r="E5" s="803"/>
      <c r="F5" s="805"/>
      <c r="G5" s="806"/>
    </row>
    <row r="6" spans="1:9" ht="17.100000000000001" customHeight="1">
      <c r="A6" s="127">
        <v>1</v>
      </c>
      <c r="B6" s="128">
        <v>2</v>
      </c>
      <c r="C6" s="129">
        <v>3</v>
      </c>
      <c r="D6" s="352">
        <v>4</v>
      </c>
      <c r="E6" s="131">
        <v>5</v>
      </c>
      <c r="F6" s="127">
        <v>6</v>
      </c>
      <c r="G6" s="132">
        <v>7</v>
      </c>
    </row>
    <row r="7" spans="1:9" ht="50.1" customHeight="1">
      <c r="A7" s="807" t="s">
        <v>463</v>
      </c>
      <c r="B7" s="807"/>
      <c r="C7" s="133">
        <f>C8+C9+C128+C133</f>
        <v>906360589.59000015</v>
      </c>
      <c r="D7" s="353">
        <f>D8+D9</f>
        <v>323387764.80000001</v>
      </c>
      <c r="E7" s="134">
        <f>(D7/C7)*100</f>
        <v>35.679813146585197</v>
      </c>
      <c r="F7" s="135">
        <f>C7-D7</f>
        <v>582972824.7900002</v>
      </c>
      <c r="G7" s="136"/>
      <c r="H7" s="215">
        <f>323387764.8-D7</f>
        <v>0</v>
      </c>
    </row>
    <row r="8" spans="1:9" ht="33" customHeight="1">
      <c r="A8" s="137"/>
      <c r="B8" s="138" t="s">
        <v>464</v>
      </c>
      <c r="C8" s="139">
        <v>516187.82</v>
      </c>
      <c r="D8" s="354">
        <v>516187.82</v>
      </c>
      <c r="E8" s="140">
        <f>(D8/C8)*100</f>
        <v>100</v>
      </c>
      <c r="F8" s="141">
        <f>C8-D8</f>
        <v>0</v>
      </c>
      <c r="G8" s="142"/>
    </row>
    <row r="9" spans="1:9" ht="53.25" customHeight="1">
      <c r="A9" s="808" t="s">
        <v>572</v>
      </c>
      <c r="B9" s="809"/>
      <c r="C9" s="143">
        <f>C13+C33+C92+C121</f>
        <v>903889544.2700001</v>
      </c>
      <c r="D9" s="355">
        <f>D13+D33+D92+D121+D128+D133</f>
        <v>322871576.98000002</v>
      </c>
      <c r="E9" s="144">
        <f>(D9/C9)*100</f>
        <v>35.720246907022009</v>
      </c>
      <c r="F9" s="145">
        <f>C9-D9</f>
        <v>581017967.29000008</v>
      </c>
      <c r="G9" s="146"/>
    </row>
    <row r="10" spans="1:9" ht="38.1" customHeight="1">
      <c r="A10" s="316"/>
      <c r="B10" s="317" t="s">
        <v>573</v>
      </c>
      <c r="C10" s="318">
        <f>C18+C67+C112</f>
        <v>508399238.0200001</v>
      </c>
      <c r="D10" s="355">
        <f>D18+D67+D112</f>
        <v>205338484.40000004</v>
      </c>
      <c r="E10" s="156">
        <f>D10/C10*100</f>
        <v>40.389219543228769</v>
      </c>
      <c r="F10" s="318">
        <f>F18+F67+F112</f>
        <v>303060753.62</v>
      </c>
      <c r="G10" s="146"/>
    </row>
    <row r="11" spans="1:9" ht="21.6" customHeight="1">
      <c r="A11" s="316"/>
      <c r="B11" s="319" t="s">
        <v>474</v>
      </c>
      <c r="C11" s="318">
        <f>C25+C28+C87+C90+C115</f>
        <v>61993200</v>
      </c>
      <c r="D11" s="355">
        <f>D25+D28+D87+D90+D115</f>
        <v>0</v>
      </c>
      <c r="E11" s="156">
        <f>D11/C11*100</f>
        <v>0</v>
      </c>
      <c r="F11" s="318">
        <f>F25+F28+F87+F90+F115</f>
        <v>61993200</v>
      </c>
      <c r="G11" s="146"/>
      <c r="H11" s="215"/>
    </row>
    <row r="12" spans="1:9" ht="20.45" customHeight="1">
      <c r="A12" s="316"/>
      <c r="B12" s="319" t="s">
        <v>476</v>
      </c>
      <c r="C12" s="318">
        <f>C19+C22+C23+C26+C29+C30+C68+C77+C80+C88+C91+C113+C116+C117+C118+C119+C120</f>
        <v>446406038.0200001</v>
      </c>
      <c r="D12" s="355">
        <f>D19+D22+D23+D26+D29+D30+D68+D77+D80+D88+D91+D113+D116+D117+D118+D119+D120</f>
        <v>205338484.40000001</v>
      </c>
      <c r="E12" s="156">
        <f>D12/C12*100</f>
        <v>45.998142254249778</v>
      </c>
      <c r="F12" s="318">
        <f>C12-D12</f>
        <v>241067553.62000009</v>
      </c>
      <c r="G12" s="146"/>
      <c r="H12" s="215"/>
      <c r="I12" s="215"/>
    </row>
    <row r="13" spans="1:9" ht="41.1" customHeight="1">
      <c r="A13" s="147" t="s">
        <v>16</v>
      </c>
      <c r="B13" s="320" t="s">
        <v>17</v>
      </c>
      <c r="C13" s="149">
        <f>C14+C16+C18</f>
        <v>63430095.919999994</v>
      </c>
      <c r="D13" s="356">
        <f>D14+D16+D18</f>
        <v>19046763.550000001</v>
      </c>
      <c r="E13" s="150">
        <f>(D13/C13)*100</f>
        <v>30.027959557277622</v>
      </c>
      <c r="F13" s="149">
        <f>F14+F16+F18</f>
        <v>44383332.36999999</v>
      </c>
      <c r="G13" s="152"/>
    </row>
    <row r="14" spans="1:9" ht="60.6" customHeight="1">
      <c r="A14" s="321" t="s">
        <v>173</v>
      </c>
      <c r="B14" s="322" t="s">
        <v>468</v>
      </c>
      <c r="C14" s="323">
        <f>C15</f>
        <v>22585493.07</v>
      </c>
      <c r="D14" s="357">
        <f>D15</f>
        <v>5374541</v>
      </c>
      <c r="E14" s="324">
        <f>(D14/C14)*100</f>
        <v>23.796429785006236</v>
      </c>
      <c r="F14" s="323">
        <f>F15</f>
        <v>17210952.07</v>
      </c>
      <c r="G14" s="146"/>
    </row>
    <row r="15" spans="1:9" s="371" customFormat="1" ht="42" customHeight="1">
      <c r="A15" s="394"/>
      <c r="B15" s="386" t="s">
        <v>480</v>
      </c>
      <c r="C15" s="395">
        <v>22585493.07</v>
      </c>
      <c r="D15" s="396">
        <v>5374541</v>
      </c>
      <c r="E15" s="373">
        <f>(D15/C15)*100</f>
        <v>23.796429785006236</v>
      </c>
      <c r="F15" s="369">
        <f>C15-D15</f>
        <v>17210952.07</v>
      </c>
      <c r="G15" s="370" t="s">
        <v>471</v>
      </c>
    </row>
    <row r="16" spans="1:9" ht="71.45" customHeight="1">
      <c r="A16" s="325" t="s">
        <v>174</v>
      </c>
      <c r="B16" s="326" t="s">
        <v>482</v>
      </c>
      <c r="C16" s="327">
        <f>C17</f>
        <v>427500</v>
      </c>
      <c r="D16" s="355">
        <f>D17</f>
        <v>148800</v>
      </c>
      <c r="E16" s="324">
        <f>(D16/C16)*100</f>
        <v>34.807017543859651</v>
      </c>
      <c r="F16" s="327">
        <f>F17</f>
        <v>278700</v>
      </c>
      <c r="G16" s="146"/>
    </row>
    <row r="17" spans="1:7" s="371" customFormat="1" ht="48.6" customHeight="1">
      <c r="A17" s="397"/>
      <c r="B17" s="398" t="s">
        <v>574</v>
      </c>
      <c r="C17" s="368">
        <v>427500</v>
      </c>
      <c r="D17" s="368">
        <v>148800</v>
      </c>
      <c r="E17" s="373">
        <f>(D17/C17)*100</f>
        <v>34.807017543859651</v>
      </c>
      <c r="F17" s="369">
        <f>C17-D17</f>
        <v>278700</v>
      </c>
      <c r="G17" s="370" t="s">
        <v>23</v>
      </c>
    </row>
    <row r="18" spans="1:7" ht="36.6" customHeight="1">
      <c r="A18" s="179" t="s">
        <v>531</v>
      </c>
      <c r="B18" s="328" t="s">
        <v>575</v>
      </c>
      <c r="C18" s="155">
        <f>C19+C22+C23+C24+C27+C30</f>
        <v>40417102.849999994</v>
      </c>
      <c r="D18" s="357">
        <f>D19+D22+D23+D24+D27+D30</f>
        <v>13523422.550000001</v>
      </c>
      <c r="E18" s="156">
        <f>D18/C18*100</f>
        <v>33.459653454601842</v>
      </c>
      <c r="F18" s="155">
        <f>C18-D18</f>
        <v>26893680.299999993</v>
      </c>
      <c r="G18" s="329"/>
    </row>
    <row r="19" spans="1:7" s="371" customFormat="1" ht="36.6" customHeight="1">
      <c r="A19" s="397"/>
      <c r="B19" s="399" t="s">
        <v>576</v>
      </c>
      <c r="C19" s="400">
        <f>C20+C21</f>
        <v>9761959.2599999998</v>
      </c>
      <c r="D19" s="400">
        <f>D20+D21</f>
        <v>5270000</v>
      </c>
      <c r="E19" s="373">
        <f t="shared" ref="E19:E24" si="0">(D19/C19)*100</f>
        <v>53.985064469527401</v>
      </c>
      <c r="F19" s="369">
        <f>C19-D19</f>
        <v>4491959.26</v>
      </c>
      <c r="G19" s="370" t="s">
        <v>23</v>
      </c>
    </row>
    <row r="20" spans="1:7" s="371" customFormat="1" ht="35.450000000000003" customHeight="1">
      <c r="A20" s="397"/>
      <c r="B20" s="381" t="s">
        <v>577</v>
      </c>
      <c r="C20" s="401">
        <v>6812345.9100000001</v>
      </c>
      <c r="D20" s="402">
        <v>4920000</v>
      </c>
      <c r="E20" s="373">
        <f t="shared" si="0"/>
        <v>72.22181705097826</v>
      </c>
      <c r="F20" s="380">
        <f>C20-D20</f>
        <v>1892345.9100000001</v>
      </c>
      <c r="G20" s="370"/>
    </row>
    <row r="21" spans="1:7" s="371" customFormat="1" ht="38.1" customHeight="1">
      <c r="A21" s="397"/>
      <c r="B21" s="403" t="s">
        <v>578</v>
      </c>
      <c r="C21" s="401">
        <v>2949613.35</v>
      </c>
      <c r="D21" s="402">
        <v>350000</v>
      </c>
      <c r="E21" s="373">
        <f t="shared" si="0"/>
        <v>11.865962025158314</v>
      </c>
      <c r="F21" s="380">
        <f>C21-D21</f>
        <v>2599613.35</v>
      </c>
      <c r="G21" s="370"/>
    </row>
    <row r="22" spans="1:7" s="371" customFormat="1" ht="36.6" customHeight="1">
      <c r="A22" s="397"/>
      <c r="B22" s="404" t="s">
        <v>24</v>
      </c>
      <c r="C22" s="395">
        <v>1636120.2</v>
      </c>
      <c r="D22" s="395">
        <v>0</v>
      </c>
      <c r="E22" s="373">
        <f t="shared" si="0"/>
        <v>0</v>
      </c>
      <c r="F22" s="369">
        <f t="shared" ref="F22:F29" si="1">C22-D22</f>
        <v>1636120.2</v>
      </c>
      <c r="G22" s="374" t="s">
        <v>471</v>
      </c>
    </row>
    <row r="23" spans="1:7" s="371" customFormat="1" ht="59.45" customHeight="1">
      <c r="A23" s="397"/>
      <c r="B23" s="404" t="s">
        <v>27</v>
      </c>
      <c r="C23" s="395">
        <v>2000000</v>
      </c>
      <c r="D23" s="395">
        <v>0</v>
      </c>
      <c r="E23" s="373">
        <f t="shared" si="0"/>
        <v>0</v>
      </c>
      <c r="F23" s="369">
        <f t="shared" si="1"/>
        <v>2000000</v>
      </c>
      <c r="G23" s="374" t="s">
        <v>471</v>
      </c>
    </row>
    <row r="24" spans="1:7" s="371" customFormat="1" ht="36.6" customHeight="1">
      <c r="A24" s="397"/>
      <c r="B24" s="386" t="s">
        <v>478</v>
      </c>
      <c r="C24" s="405">
        <f>C25+C26</f>
        <v>10000281.689999999</v>
      </c>
      <c r="D24" s="406">
        <f>D25+D26</f>
        <v>0</v>
      </c>
      <c r="E24" s="373">
        <f t="shared" si="0"/>
        <v>0</v>
      </c>
      <c r="F24" s="369">
        <f t="shared" si="1"/>
        <v>10000281.689999999</v>
      </c>
      <c r="G24" s="370" t="s">
        <v>471</v>
      </c>
    </row>
    <row r="25" spans="1:7" s="371" customFormat="1" ht="27.6" customHeight="1">
      <c r="A25" s="397"/>
      <c r="B25" s="378" t="s">
        <v>474</v>
      </c>
      <c r="C25" s="396">
        <v>7100200</v>
      </c>
      <c r="D25" s="396"/>
      <c r="E25" s="407"/>
      <c r="F25" s="380">
        <f t="shared" si="1"/>
        <v>7100200</v>
      </c>
      <c r="G25" s="370"/>
    </row>
    <row r="26" spans="1:7" s="371" customFormat="1" ht="26.1" customHeight="1">
      <c r="A26" s="397"/>
      <c r="B26" s="378" t="s">
        <v>476</v>
      </c>
      <c r="C26" s="396">
        <v>2900081.69</v>
      </c>
      <c r="D26" s="396"/>
      <c r="E26" s="407"/>
      <c r="F26" s="380">
        <f t="shared" si="1"/>
        <v>2900081.69</v>
      </c>
      <c r="G26" s="370"/>
    </row>
    <row r="27" spans="1:7" s="371" customFormat="1" ht="36.6" customHeight="1">
      <c r="A27" s="397"/>
      <c r="B27" s="408" t="s">
        <v>579</v>
      </c>
      <c r="C27" s="385">
        <f>C28+C29</f>
        <v>6365319.1500000004</v>
      </c>
      <c r="D27" s="385">
        <f>D28+D29</f>
        <v>0</v>
      </c>
      <c r="E27" s="409"/>
      <c r="F27" s="369">
        <f t="shared" si="1"/>
        <v>6365319.1500000004</v>
      </c>
      <c r="G27" s="370" t="s">
        <v>471</v>
      </c>
    </row>
    <row r="28" spans="1:7" s="371" customFormat="1" ht="23.45" customHeight="1">
      <c r="A28" s="397"/>
      <c r="B28" s="410" t="s">
        <v>513</v>
      </c>
      <c r="C28" s="383">
        <v>5983400</v>
      </c>
      <c r="D28" s="383"/>
      <c r="E28" s="409"/>
      <c r="F28" s="411">
        <f t="shared" si="1"/>
        <v>5983400</v>
      </c>
      <c r="G28" s="412"/>
    </row>
    <row r="29" spans="1:7" s="371" customFormat="1" ht="23.1" customHeight="1">
      <c r="A29" s="397"/>
      <c r="B29" s="410" t="s">
        <v>476</v>
      </c>
      <c r="C29" s="383">
        <v>381919.15</v>
      </c>
      <c r="D29" s="383"/>
      <c r="E29" s="409"/>
      <c r="F29" s="380">
        <f t="shared" si="1"/>
        <v>381919.15</v>
      </c>
      <c r="G29" s="412"/>
    </row>
    <row r="30" spans="1:7" s="371" customFormat="1" ht="36.6" customHeight="1">
      <c r="A30" s="397"/>
      <c r="B30" s="386" t="s">
        <v>483</v>
      </c>
      <c r="C30" s="368">
        <f>C31+C32</f>
        <v>10653422.550000001</v>
      </c>
      <c r="D30" s="368">
        <f>D31+D32</f>
        <v>8253422.5499999998</v>
      </c>
      <c r="E30" s="373">
        <f t="shared" ref="E30:E66" si="2">(D30/C30)*100</f>
        <v>77.47202846093812</v>
      </c>
      <c r="F30" s="369">
        <f>C30-D30</f>
        <v>2400000.0000000009</v>
      </c>
      <c r="G30" s="370" t="s">
        <v>23</v>
      </c>
    </row>
    <row r="31" spans="1:7" s="371" customFormat="1" ht="70.349999999999994" customHeight="1">
      <c r="A31" s="397"/>
      <c r="B31" s="378" t="s">
        <v>484</v>
      </c>
      <c r="C31" s="413">
        <v>2658665.2999999998</v>
      </c>
      <c r="D31" s="413">
        <v>1324985.6299999999</v>
      </c>
      <c r="E31" s="373">
        <f t="shared" si="2"/>
        <v>49.836496154668289</v>
      </c>
      <c r="F31" s="380">
        <f>C31-D31</f>
        <v>1333679.67</v>
      </c>
      <c r="G31" s="370"/>
    </row>
    <row r="32" spans="1:7" s="371" customFormat="1" ht="36.6" customHeight="1">
      <c r="A32" s="397"/>
      <c r="B32" s="378" t="s">
        <v>485</v>
      </c>
      <c r="C32" s="413">
        <v>7994757.25</v>
      </c>
      <c r="D32" s="413">
        <v>6928436.9199999999</v>
      </c>
      <c r="E32" s="373">
        <f t="shared" si="2"/>
        <v>86.662255067219206</v>
      </c>
      <c r="F32" s="380">
        <f>C32-D32</f>
        <v>1066320.33</v>
      </c>
      <c r="G32" s="370"/>
    </row>
    <row r="33" spans="1:7" ht="38.450000000000003" customHeight="1">
      <c r="A33" s="189" t="s">
        <v>487</v>
      </c>
      <c r="B33" s="330" t="s">
        <v>41</v>
      </c>
      <c r="C33" s="191">
        <f>C34+C44+C59+C67</f>
        <v>656123454.33000016</v>
      </c>
      <c r="D33" s="357">
        <f>D34+D44+D59+D67</f>
        <v>288665803.73000002</v>
      </c>
      <c r="E33" s="192">
        <f t="shared" si="2"/>
        <v>43.995653839988215</v>
      </c>
      <c r="F33" s="191">
        <f>F34+F44</f>
        <v>234969247.42000002</v>
      </c>
      <c r="G33" s="152"/>
    </row>
    <row r="34" spans="1:7" ht="60" customHeight="1">
      <c r="A34" s="331" t="s">
        <v>175</v>
      </c>
      <c r="B34" s="332" t="s">
        <v>489</v>
      </c>
      <c r="C34" s="323">
        <f>C35+C36+C37+C38+C39+C43</f>
        <v>56249981.049999997</v>
      </c>
      <c r="D34" s="357">
        <f>D35+D36+D37+D38+D39+D43</f>
        <v>29305357.23</v>
      </c>
      <c r="E34" s="324">
        <f t="shared" si="2"/>
        <v>52.098430404715671</v>
      </c>
      <c r="F34" s="323">
        <f>F35+F36+F37+F38+F39+F43</f>
        <v>26944623.82</v>
      </c>
      <c r="G34" s="146"/>
    </row>
    <row r="35" spans="1:7" s="371" customFormat="1" ht="54" customHeight="1">
      <c r="A35" s="397"/>
      <c r="B35" s="386" t="s">
        <v>50</v>
      </c>
      <c r="C35" s="395">
        <v>511257.7</v>
      </c>
      <c r="D35" s="395">
        <v>0</v>
      </c>
      <c r="E35" s="373">
        <f t="shared" si="2"/>
        <v>0</v>
      </c>
      <c r="F35" s="369">
        <f t="shared" ref="F35:F66" si="3">C35-D35</f>
        <v>511257.7</v>
      </c>
      <c r="G35" s="370" t="s">
        <v>471</v>
      </c>
    </row>
    <row r="36" spans="1:7" s="371" customFormat="1" ht="32.450000000000003" customHeight="1">
      <c r="A36" s="397"/>
      <c r="B36" s="386" t="s">
        <v>52</v>
      </c>
      <c r="C36" s="395">
        <v>10000</v>
      </c>
      <c r="D36" s="395">
        <v>0</v>
      </c>
      <c r="E36" s="373">
        <f t="shared" si="2"/>
        <v>0</v>
      </c>
      <c r="F36" s="369">
        <f t="shared" si="3"/>
        <v>10000</v>
      </c>
      <c r="G36" s="370" t="s">
        <v>471</v>
      </c>
    </row>
    <row r="37" spans="1:7" s="371" customFormat="1" ht="33.6" customHeight="1">
      <c r="A37" s="397"/>
      <c r="B37" s="386" t="s">
        <v>497</v>
      </c>
      <c r="C37" s="395">
        <v>30000000</v>
      </c>
      <c r="D37" s="395">
        <v>18743744.23</v>
      </c>
      <c r="E37" s="373">
        <f t="shared" si="2"/>
        <v>62.479147433333338</v>
      </c>
      <c r="F37" s="369">
        <f t="shared" si="3"/>
        <v>11256255.77</v>
      </c>
      <c r="G37" s="370" t="s">
        <v>471</v>
      </c>
    </row>
    <row r="38" spans="1:7" s="371" customFormat="1" ht="21.6" customHeight="1">
      <c r="A38" s="397"/>
      <c r="B38" s="386" t="s">
        <v>498</v>
      </c>
      <c r="C38" s="395">
        <v>699860.35</v>
      </c>
      <c r="D38" s="395">
        <v>171000</v>
      </c>
      <c r="E38" s="373">
        <f t="shared" si="2"/>
        <v>24.433445901028687</v>
      </c>
      <c r="F38" s="369">
        <f t="shared" si="3"/>
        <v>528860.35</v>
      </c>
      <c r="G38" s="370" t="s">
        <v>471</v>
      </c>
    </row>
    <row r="39" spans="1:7" s="371" customFormat="1" ht="49.35" customHeight="1">
      <c r="A39" s="397"/>
      <c r="B39" s="386" t="s">
        <v>153</v>
      </c>
      <c r="C39" s="395">
        <f>C40+C41+C42</f>
        <v>28863</v>
      </c>
      <c r="D39" s="395">
        <f>D40+D41+D42</f>
        <v>21813</v>
      </c>
      <c r="E39" s="373">
        <f t="shared" si="2"/>
        <v>75.574264629456394</v>
      </c>
      <c r="F39" s="369">
        <f>C39-D39</f>
        <v>7050</v>
      </c>
      <c r="G39" s="390"/>
    </row>
    <row r="40" spans="1:7" s="371" customFormat="1" ht="25.35" customHeight="1">
      <c r="A40" s="397"/>
      <c r="B40" s="381" t="s">
        <v>499</v>
      </c>
      <c r="C40" s="414">
        <v>3300</v>
      </c>
      <c r="D40" s="414">
        <v>0</v>
      </c>
      <c r="E40" s="373">
        <f t="shared" si="2"/>
        <v>0</v>
      </c>
      <c r="F40" s="380">
        <f>C40-D40</f>
        <v>3300</v>
      </c>
      <c r="G40" s="390"/>
    </row>
    <row r="41" spans="1:7" s="371" customFormat="1" ht="25.35" customHeight="1">
      <c r="A41" s="397"/>
      <c r="B41" s="381" t="s">
        <v>500</v>
      </c>
      <c r="C41" s="414">
        <v>21813</v>
      </c>
      <c r="D41" s="383">
        <v>21813</v>
      </c>
      <c r="E41" s="373">
        <f t="shared" si="2"/>
        <v>100</v>
      </c>
      <c r="F41" s="380">
        <f>C41-D41</f>
        <v>0</v>
      </c>
      <c r="G41" s="390"/>
    </row>
    <row r="42" spans="1:7" s="371" customFormat="1" ht="25.35" customHeight="1">
      <c r="A42" s="397"/>
      <c r="B42" s="381" t="s">
        <v>501</v>
      </c>
      <c r="C42" s="396">
        <v>3750</v>
      </c>
      <c r="D42" s="383"/>
      <c r="E42" s="373">
        <f t="shared" si="2"/>
        <v>0</v>
      </c>
      <c r="F42" s="380">
        <f>C42-D42</f>
        <v>3750</v>
      </c>
      <c r="G42" s="390"/>
    </row>
    <row r="43" spans="1:7" s="371" customFormat="1" ht="51.6" customHeight="1">
      <c r="A43" s="397"/>
      <c r="B43" s="408" t="s">
        <v>502</v>
      </c>
      <c r="C43" s="405">
        <v>25000000</v>
      </c>
      <c r="D43" s="395">
        <v>10368800</v>
      </c>
      <c r="E43" s="373">
        <f t="shared" si="2"/>
        <v>41.475200000000001</v>
      </c>
      <c r="F43" s="369">
        <f>C43-D43</f>
        <v>14631200</v>
      </c>
      <c r="G43" s="370" t="s">
        <v>23</v>
      </c>
    </row>
    <row r="44" spans="1:7" ht="54.6" customHeight="1">
      <c r="A44" s="333" t="s">
        <v>176</v>
      </c>
      <c r="B44" s="322" t="s">
        <v>504</v>
      </c>
      <c r="C44" s="323">
        <f>C45+C49+C57</f>
        <v>208024623.60000002</v>
      </c>
      <c r="D44" s="357">
        <f>D45+D49+D57</f>
        <v>67448404.650000006</v>
      </c>
      <c r="E44" s="334">
        <f t="shared" si="2"/>
        <v>32.42327926509946</v>
      </c>
      <c r="F44" s="323">
        <v>208024623.60000002</v>
      </c>
      <c r="G44" s="146"/>
    </row>
    <row r="45" spans="1:7" s="371" customFormat="1" ht="35.450000000000003" customHeight="1">
      <c r="A45" s="1076"/>
      <c r="B45" s="436" t="s">
        <v>490</v>
      </c>
      <c r="C45" s="368">
        <f>C46+C47+C48</f>
        <v>204227183.95000002</v>
      </c>
      <c r="D45" s="368">
        <f>D46+D47+D48</f>
        <v>65643815</v>
      </c>
      <c r="E45" s="373">
        <f t="shared" si="2"/>
        <v>32.142545243179413</v>
      </c>
      <c r="F45" s="368">
        <f>F46+F47+F48</f>
        <v>138583368.94999999</v>
      </c>
      <c r="G45" s="390"/>
    </row>
    <row r="46" spans="1:7" s="371" customFormat="1" ht="25.35" customHeight="1">
      <c r="A46" s="1077"/>
      <c r="B46" s="378" t="s">
        <v>507</v>
      </c>
      <c r="C46" s="414">
        <v>170505117.78</v>
      </c>
      <c r="D46" s="414">
        <v>47118215</v>
      </c>
      <c r="E46" s="373">
        <f t="shared" si="2"/>
        <v>27.634487230345702</v>
      </c>
      <c r="F46" s="369">
        <f t="shared" si="3"/>
        <v>123386902.78</v>
      </c>
      <c r="G46" s="370" t="s">
        <v>23</v>
      </c>
    </row>
    <row r="47" spans="1:7" s="371" customFormat="1" ht="25.35" customHeight="1">
      <c r="A47" s="437"/>
      <c r="B47" s="378" t="s">
        <v>508</v>
      </c>
      <c r="C47" s="414">
        <v>1084330.8600000001</v>
      </c>
      <c r="D47" s="414">
        <v>638000</v>
      </c>
      <c r="E47" s="373">
        <f t="shared" si="2"/>
        <v>58.838129904372536</v>
      </c>
      <c r="F47" s="369">
        <f t="shared" si="3"/>
        <v>446330.8600000001</v>
      </c>
      <c r="G47" s="370" t="s">
        <v>23</v>
      </c>
    </row>
    <row r="48" spans="1:7" s="371" customFormat="1" ht="25.35" customHeight="1">
      <c r="A48" s="437"/>
      <c r="B48" s="432" t="s">
        <v>509</v>
      </c>
      <c r="C48" s="414">
        <v>32637735.309999999</v>
      </c>
      <c r="D48" s="438">
        <v>17887600</v>
      </c>
      <c r="E48" s="373">
        <f t="shared" si="2"/>
        <v>54.806498766228273</v>
      </c>
      <c r="F48" s="369">
        <f>C48-D48</f>
        <v>14750135.309999999</v>
      </c>
      <c r="G48" s="412"/>
    </row>
    <row r="49" spans="1:7" s="371" customFormat="1" ht="53.45" customHeight="1">
      <c r="A49" s="415"/>
      <c r="B49" s="416" t="s">
        <v>510</v>
      </c>
      <c r="C49" s="417">
        <f>C50+C51+C52+C53+C54+C55+C56</f>
        <v>3561300</v>
      </c>
      <c r="D49" s="417">
        <f>D50+D51+D52+D53+D54+D55+D56</f>
        <v>1568450</v>
      </c>
      <c r="E49" s="418">
        <f t="shared" si="2"/>
        <v>44.041501698817846</v>
      </c>
      <c r="F49" s="419">
        <f t="shared" si="3"/>
        <v>1992850</v>
      </c>
      <c r="G49" s="420"/>
    </row>
    <row r="50" spans="1:7" s="371" customFormat="1" ht="25.35" customHeight="1">
      <c r="A50" s="421"/>
      <c r="B50" s="422" t="s">
        <v>501</v>
      </c>
      <c r="C50" s="414">
        <v>370000</v>
      </c>
      <c r="D50" s="414">
        <v>218950</v>
      </c>
      <c r="E50" s="373">
        <f t="shared" si="2"/>
        <v>59.175675675675677</v>
      </c>
      <c r="F50" s="380">
        <f t="shared" si="3"/>
        <v>151050</v>
      </c>
      <c r="G50" s="390"/>
    </row>
    <row r="51" spans="1:7" s="371" customFormat="1" ht="25.35" customHeight="1">
      <c r="A51" s="423"/>
      <c r="B51" s="381" t="s">
        <v>499</v>
      </c>
      <c r="C51" s="383">
        <v>288000</v>
      </c>
      <c r="D51" s="414">
        <v>288000</v>
      </c>
      <c r="E51" s="373">
        <f t="shared" si="2"/>
        <v>100</v>
      </c>
      <c r="F51" s="380">
        <f t="shared" si="3"/>
        <v>0</v>
      </c>
      <c r="G51" s="390"/>
    </row>
    <row r="52" spans="1:7" s="371" customFormat="1" ht="25.35" customHeight="1">
      <c r="A52" s="423"/>
      <c r="B52" s="381" t="s">
        <v>500</v>
      </c>
      <c r="C52" s="383">
        <v>167000</v>
      </c>
      <c r="D52" s="414">
        <v>6000</v>
      </c>
      <c r="E52" s="373">
        <f t="shared" si="2"/>
        <v>3.5928143712574849</v>
      </c>
      <c r="F52" s="380">
        <f t="shared" si="3"/>
        <v>161000</v>
      </c>
      <c r="G52" s="390"/>
    </row>
    <row r="53" spans="1:7" s="371" customFormat="1" ht="25.35" customHeight="1">
      <c r="A53" s="423"/>
      <c r="B53" s="381" t="s">
        <v>506</v>
      </c>
      <c r="C53" s="383">
        <v>225000</v>
      </c>
      <c r="D53" s="383">
        <v>98000</v>
      </c>
      <c r="E53" s="373">
        <f t="shared" si="2"/>
        <v>43.55555555555555</v>
      </c>
      <c r="F53" s="380">
        <f t="shared" si="3"/>
        <v>127000</v>
      </c>
      <c r="G53" s="390"/>
    </row>
    <row r="54" spans="1:7" s="371" customFormat="1" ht="25.35" customHeight="1">
      <c r="A54" s="423"/>
      <c r="B54" s="381" t="s">
        <v>233</v>
      </c>
      <c r="C54" s="383">
        <v>300000</v>
      </c>
      <c r="D54" s="383"/>
      <c r="E54" s="373">
        <f t="shared" si="2"/>
        <v>0</v>
      </c>
      <c r="F54" s="380">
        <f t="shared" si="3"/>
        <v>300000</v>
      </c>
      <c r="G54" s="390"/>
    </row>
    <row r="55" spans="1:7" s="371" customFormat="1" ht="25.35" customHeight="1">
      <c r="A55" s="423"/>
      <c r="B55" s="378" t="s">
        <v>23</v>
      </c>
      <c r="C55" s="379">
        <v>1728600</v>
      </c>
      <c r="D55" s="379">
        <v>572500</v>
      </c>
      <c r="E55" s="409">
        <f t="shared" si="2"/>
        <v>33.119287284507692</v>
      </c>
      <c r="F55" s="411">
        <f>C55-D55</f>
        <v>1156100</v>
      </c>
      <c r="G55" s="424"/>
    </row>
    <row r="56" spans="1:7" s="371" customFormat="1" ht="25.35" customHeight="1">
      <c r="A56" s="423"/>
      <c r="B56" s="410" t="s">
        <v>509</v>
      </c>
      <c r="C56" s="379">
        <v>482700</v>
      </c>
      <c r="D56" s="379">
        <v>385000</v>
      </c>
      <c r="E56" s="409">
        <f t="shared" si="2"/>
        <v>79.759685104619848</v>
      </c>
      <c r="F56" s="411">
        <f t="shared" si="3"/>
        <v>97700</v>
      </c>
      <c r="G56" s="424"/>
    </row>
    <row r="57" spans="1:7" ht="47.1" customHeight="1">
      <c r="A57" s="202"/>
      <c r="B57" s="335" t="s">
        <v>580</v>
      </c>
      <c r="C57" s="247">
        <f>C58</f>
        <v>236139.65</v>
      </c>
      <c r="D57" s="358">
        <f>D58</f>
        <v>236139.65</v>
      </c>
      <c r="E57" s="229">
        <f t="shared" si="2"/>
        <v>100</v>
      </c>
      <c r="F57" s="230">
        <f>C57-D57</f>
        <v>0</v>
      </c>
      <c r="G57" s="336"/>
    </row>
    <row r="58" spans="1:7" ht="20.100000000000001" customHeight="1">
      <c r="A58" s="202"/>
      <c r="B58" s="337" t="s">
        <v>476</v>
      </c>
      <c r="C58" s="248">
        <v>236139.65</v>
      </c>
      <c r="D58" s="359">
        <v>236139.65</v>
      </c>
      <c r="E58" s="229">
        <f t="shared" si="2"/>
        <v>100</v>
      </c>
      <c r="F58" s="176">
        <f>C58-D58</f>
        <v>0</v>
      </c>
      <c r="G58" s="338"/>
    </row>
    <row r="59" spans="1:7" s="371" customFormat="1" ht="50.45" customHeight="1">
      <c r="A59" s="425" t="s">
        <v>177</v>
      </c>
      <c r="B59" s="426" t="s">
        <v>514</v>
      </c>
      <c r="C59" s="417">
        <f>C60</f>
        <v>523386</v>
      </c>
      <c r="D59" s="417">
        <f>D60</f>
        <v>96980</v>
      </c>
      <c r="E59" s="373">
        <f t="shared" si="2"/>
        <v>18.529345454406499</v>
      </c>
      <c r="F59" s="419">
        <f t="shared" si="3"/>
        <v>426406</v>
      </c>
      <c r="G59" s="420"/>
    </row>
    <row r="60" spans="1:7" s="371" customFormat="1" ht="33" customHeight="1">
      <c r="A60" s="427"/>
      <c r="B60" s="428" t="s">
        <v>70</v>
      </c>
      <c r="C60" s="368">
        <f>C61+C62+C63+C64+C65+C66</f>
        <v>523386</v>
      </c>
      <c r="D60" s="368">
        <f>D61+D62+D63+D64+D65+D66</f>
        <v>96980</v>
      </c>
      <c r="E60" s="373">
        <f t="shared" si="2"/>
        <v>18.529345454406499</v>
      </c>
      <c r="F60" s="369">
        <f t="shared" si="3"/>
        <v>426406</v>
      </c>
      <c r="G60" s="390"/>
    </row>
    <row r="61" spans="1:7" s="371" customFormat="1" ht="25.35" customHeight="1">
      <c r="A61" s="429"/>
      <c r="B61" s="381" t="s">
        <v>501</v>
      </c>
      <c r="C61" s="383">
        <v>60400</v>
      </c>
      <c r="D61" s="383"/>
      <c r="E61" s="373">
        <f t="shared" si="2"/>
        <v>0</v>
      </c>
      <c r="F61" s="380">
        <f t="shared" si="3"/>
        <v>60400</v>
      </c>
      <c r="G61" s="390"/>
    </row>
    <row r="62" spans="1:7" s="371" customFormat="1" ht="25.35" customHeight="1">
      <c r="A62" s="429"/>
      <c r="B62" s="381" t="s">
        <v>499</v>
      </c>
      <c r="C62" s="383">
        <v>48980</v>
      </c>
      <c r="D62" s="383"/>
      <c r="E62" s="373">
        <f t="shared" si="2"/>
        <v>0</v>
      </c>
      <c r="F62" s="380">
        <f t="shared" si="3"/>
        <v>48980</v>
      </c>
      <c r="G62" s="390"/>
    </row>
    <row r="63" spans="1:7" s="371" customFormat="1" ht="25.35" customHeight="1">
      <c r="A63" s="429"/>
      <c r="B63" s="381" t="s">
        <v>500</v>
      </c>
      <c r="C63" s="383">
        <v>45000</v>
      </c>
      <c r="D63" s="383">
        <v>25680</v>
      </c>
      <c r="E63" s="373">
        <f t="shared" si="2"/>
        <v>57.066666666666663</v>
      </c>
      <c r="F63" s="380">
        <f t="shared" si="3"/>
        <v>19320</v>
      </c>
      <c r="G63" s="390"/>
    </row>
    <row r="64" spans="1:7" s="371" customFormat="1" ht="25.35" customHeight="1">
      <c r="A64" s="429"/>
      <c r="B64" s="381" t="s">
        <v>506</v>
      </c>
      <c r="C64" s="383">
        <v>130000</v>
      </c>
      <c r="D64" s="383"/>
      <c r="E64" s="373">
        <f t="shared" si="2"/>
        <v>0</v>
      </c>
      <c r="F64" s="380">
        <f t="shared" si="3"/>
        <v>130000</v>
      </c>
      <c r="G64" s="390"/>
    </row>
    <row r="65" spans="1:7" s="371" customFormat="1" ht="25.35" customHeight="1">
      <c r="A65" s="429"/>
      <c r="B65" s="381" t="s">
        <v>233</v>
      </c>
      <c r="C65" s="383">
        <v>97000</v>
      </c>
      <c r="D65" s="383"/>
      <c r="E65" s="373">
        <f t="shared" si="2"/>
        <v>0</v>
      </c>
      <c r="F65" s="380">
        <f t="shared" si="3"/>
        <v>97000</v>
      </c>
      <c r="G65" s="390"/>
    </row>
    <row r="66" spans="1:7" s="371" customFormat="1" ht="24.6" customHeight="1">
      <c r="A66" s="429"/>
      <c r="B66" s="381" t="s">
        <v>515</v>
      </c>
      <c r="C66" s="383">
        <v>142006</v>
      </c>
      <c r="D66" s="383">
        <v>71300</v>
      </c>
      <c r="E66" s="373">
        <f t="shared" si="2"/>
        <v>50.209146092418635</v>
      </c>
      <c r="F66" s="380">
        <f t="shared" si="3"/>
        <v>70706</v>
      </c>
      <c r="G66" s="390"/>
    </row>
    <row r="67" spans="1:7" ht="24.6" customHeight="1">
      <c r="A67" s="240" t="s">
        <v>581</v>
      </c>
      <c r="B67" s="328" t="s">
        <v>575</v>
      </c>
      <c r="C67" s="155">
        <f>C68+C77+C80+C86+C89</f>
        <v>391325463.68000007</v>
      </c>
      <c r="D67" s="357">
        <f>D68+D77+D80+D86+D89</f>
        <v>191815061.85000002</v>
      </c>
      <c r="E67" s="156">
        <f>D67/C67*100</f>
        <v>49.016759616454095</v>
      </c>
      <c r="F67" s="155">
        <f>C67-D67</f>
        <v>199510401.83000004</v>
      </c>
      <c r="G67" s="329"/>
    </row>
    <row r="68" spans="1:7" s="371" customFormat="1" ht="35.1" customHeight="1">
      <c r="A68" s="429"/>
      <c r="B68" s="408" t="s">
        <v>490</v>
      </c>
      <c r="C68" s="368">
        <f>C69+C70+C71+C72+C73+C74+C75+C76</f>
        <v>97267723.609999999</v>
      </c>
      <c r="D68" s="368">
        <f>D69+D70+D71+D72+D73+D74+D75+D76</f>
        <v>44730000</v>
      </c>
      <c r="E68" s="373">
        <f t="shared" ref="E68:E91" si="4">(D68/C68)*100</f>
        <v>45.986477672025373</v>
      </c>
      <c r="F68" s="369">
        <f t="shared" ref="F68:F73" si="5">C68-D68</f>
        <v>52537723.609999999</v>
      </c>
      <c r="G68" s="370" t="s">
        <v>23</v>
      </c>
    </row>
    <row r="69" spans="1:7" s="371" customFormat="1" ht="35.450000000000003" customHeight="1">
      <c r="A69" s="429"/>
      <c r="B69" s="381" t="s">
        <v>582</v>
      </c>
      <c r="C69" s="414">
        <v>1316135.75</v>
      </c>
      <c r="D69" s="413">
        <v>526000</v>
      </c>
      <c r="E69" s="373">
        <f t="shared" si="4"/>
        <v>39.965482284027317</v>
      </c>
      <c r="F69" s="380">
        <f t="shared" si="5"/>
        <v>790135.75</v>
      </c>
      <c r="G69" s="370" t="s">
        <v>23</v>
      </c>
    </row>
    <row r="70" spans="1:7" s="371" customFormat="1" ht="35.450000000000003" customHeight="1">
      <c r="A70" s="429"/>
      <c r="B70" s="381" t="s">
        <v>583</v>
      </c>
      <c r="C70" s="387">
        <v>44696405.850000001</v>
      </c>
      <c r="D70" s="413">
        <v>21080702.760000002</v>
      </c>
      <c r="E70" s="373">
        <f t="shared" si="4"/>
        <v>47.164201145716959</v>
      </c>
      <c r="F70" s="380">
        <f t="shared" si="5"/>
        <v>23615703.09</v>
      </c>
      <c r="G70" s="370" t="s">
        <v>23</v>
      </c>
    </row>
    <row r="71" spans="1:7" s="371" customFormat="1" ht="35.450000000000003" customHeight="1">
      <c r="A71" s="429"/>
      <c r="B71" s="381" t="s">
        <v>584</v>
      </c>
      <c r="C71" s="387">
        <v>1518906.06</v>
      </c>
      <c r="D71" s="413">
        <v>1082943.8799999999</v>
      </c>
      <c r="E71" s="373">
        <f t="shared" si="4"/>
        <v>71.297620604660693</v>
      </c>
      <c r="F71" s="380">
        <f t="shared" si="5"/>
        <v>435962.18000000017</v>
      </c>
      <c r="G71" s="370" t="s">
        <v>23</v>
      </c>
    </row>
    <row r="72" spans="1:7" s="371" customFormat="1" ht="35.450000000000003" customHeight="1">
      <c r="A72" s="429"/>
      <c r="B72" s="381" t="s">
        <v>492</v>
      </c>
      <c r="C72" s="414">
        <v>2499640.29</v>
      </c>
      <c r="D72" s="430">
        <v>773679.78</v>
      </c>
      <c r="E72" s="373">
        <f t="shared" si="4"/>
        <v>30.951644646438307</v>
      </c>
      <c r="F72" s="380">
        <f t="shared" si="5"/>
        <v>1725960.51</v>
      </c>
      <c r="G72" s="370" t="s">
        <v>23</v>
      </c>
    </row>
    <row r="73" spans="1:7" s="371" customFormat="1" ht="35.450000000000003" customHeight="1">
      <c r="A73" s="429"/>
      <c r="B73" s="381" t="s">
        <v>585</v>
      </c>
      <c r="C73" s="414">
        <v>8025770.4299999997</v>
      </c>
      <c r="D73" s="430">
        <v>3863236.62</v>
      </c>
      <c r="E73" s="373">
        <f t="shared" si="4"/>
        <v>48.135399008665644</v>
      </c>
      <c r="F73" s="380">
        <f t="shared" si="5"/>
        <v>4162533.8099999996</v>
      </c>
      <c r="G73" s="370" t="s">
        <v>23</v>
      </c>
    </row>
    <row r="74" spans="1:7" s="371" customFormat="1" ht="35.450000000000003" customHeight="1">
      <c r="A74" s="429"/>
      <c r="B74" s="381" t="s">
        <v>493</v>
      </c>
      <c r="C74" s="414">
        <v>17835045.399999999</v>
      </c>
      <c r="D74" s="430">
        <v>7391265.96</v>
      </c>
      <c r="E74" s="373">
        <f t="shared" si="4"/>
        <v>41.442372554880066</v>
      </c>
      <c r="F74" s="380">
        <v>17835045.399999999</v>
      </c>
      <c r="G74" s="370" t="s">
        <v>23</v>
      </c>
    </row>
    <row r="75" spans="1:7" s="371" customFormat="1" ht="35.450000000000003" customHeight="1">
      <c r="A75" s="429"/>
      <c r="B75" s="381" t="s">
        <v>494</v>
      </c>
      <c r="C75" s="414">
        <v>15978390.41</v>
      </c>
      <c r="D75" s="430">
        <v>5696291.3700000001</v>
      </c>
      <c r="E75" s="373">
        <f t="shared" si="4"/>
        <v>35.649969889551599</v>
      </c>
      <c r="F75" s="380">
        <f>C75-D75</f>
        <v>10282099.039999999</v>
      </c>
      <c r="G75" s="370" t="s">
        <v>23</v>
      </c>
    </row>
    <row r="76" spans="1:7" s="371" customFormat="1" ht="35.450000000000003" customHeight="1">
      <c r="A76" s="429"/>
      <c r="B76" s="381" t="s">
        <v>495</v>
      </c>
      <c r="C76" s="387">
        <v>5397429.4199999999</v>
      </c>
      <c r="D76" s="413">
        <v>4315879.63</v>
      </c>
      <c r="E76" s="373">
        <f t="shared" si="4"/>
        <v>79.961761315630127</v>
      </c>
      <c r="F76" s="380">
        <f>C76-D76</f>
        <v>1081549.79</v>
      </c>
      <c r="G76" s="370" t="s">
        <v>23</v>
      </c>
    </row>
    <row r="77" spans="1:7" s="371" customFormat="1" ht="36.6" customHeight="1">
      <c r="A77" s="429"/>
      <c r="B77" s="386" t="s">
        <v>48</v>
      </c>
      <c r="C77" s="395">
        <f>C78+C79</f>
        <v>13643595.4</v>
      </c>
      <c r="D77" s="395">
        <f>D78+D79</f>
        <v>11236213.23</v>
      </c>
      <c r="E77" s="373">
        <f t="shared" si="4"/>
        <v>82.35522163021632</v>
      </c>
      <c r="F77" s="369">
        <f>C77-D77</f>
        <v>2407382.17</v>
      </c>
      <c r="G77" s="431" t="s">
        <v>496</v>
      </c>
    </row>
    <row r="78" spans="1:7" s="371" customFormat="1" ht="24.6" customHeight="1">
      <c r="A78" s="429"/>
      <c r="B78" s="378" t="s">
        <v>23</v>
      </c>
      <c r="C78" s="430">
        <v>12490674.9</v>
      </c>
      <c r="D78" s="430">
        <v>10083292.73</v>
      </c>
      <c r="E78" s="373">
        <f t="shared" si="4"/>
        <v>80.726564502931708</v>
      </c>
      <c r="F78" s="369">
        <f>C78-D78</f>
        <v>2407382.17</v>
      </c>
      <c r="G78" s="431"/>
    </row>
    <row r="79" spans="1:7" s="371" customFormat="1" ht="24.6" customHeight="1">
      <c r="A79" s="429"/>
      <c r="B79" s="432" t="s">
        <v>509</v>
      </c>
      <c r="C79" s="430">
        <v>1152920.5</v>
      </c>
      <c r="D79" s="430">
        <v>1152920.5</v>
      </c>
      <c r="E79" s="373">
        <f t="shared" si="4"/>
        <v>100</v>
      </c>
      <c r="F79" s="369">
        <f>C79-D79</f>
        <v>0</v>
      </c>
      <c r="G79" s="431"/>
    </row>
    <row r="80" spans="1:7" s="371" customFormat="1" ht="35.450000000000003" customHeight="1">
      <c r="A80" s="429"/>
      <c r="B80" s="408" t="s">
        <v>505</v>
      </c>
      <c r="C80" s="368">
        <f>C81+C82+C83+C84+C85</f>
        <v>267865412.27000004</v>
      </c>
      <c r="D80" s="368">
        <f>D81+D82+D83+D84+D85</f>
        <v>135848848.62</v>
      </c>
      <c r="E80" s="373">
        <f t="shared" si="4"/>
        <v>50.715337776819268</v>
      </c>
      <c r="F80" s="368">
        <f>F81+F82+F83+F84+F85+F88</f>
        <v>133288765.06</v>
      </c>
      <c r="G80" s="390"/>
    </row>
    <row r="81" spans="1:7" s="371" customFormat="1" ht="24.6" customHeight="1">
      <c r="A81" s="429"/>
      <c r="B81" s="381" t="s">
        <v>501</v>
      </c>
      <c r="C81" s="414">
        <v>69677291.480000004</v>
      </c>
      <c r="D81" s="414">
        <v>35615340</v>
      </c>
      <c r="E81" s="373">
        <f t="shared" si="4"/>
        <v>51.114702141117149</v>
      </c>
      <c r="F81" s="380">
        <f t="shared" ref="F81:F91" si="6">C81-D81</f>
        <v>34061951.480000004</v>
      </c>
      <c r="G81" s="390"/>
    </row>
    <row r="82" spans="1:7" s="371" customFormat="1" ht="24.6" customHeight="1">
      <c r="A82" s="429"/>
      <c r="B82" s="381" t="s">
        <v>499</v>
      </c>
      <c r="C82" s="414">
        <v>34070813.57</v>
      </c>
      <c r="D82" s="414">
        <v>15923030.01</v>
      </c>
      <c r="E82" s="373">
        <f t="shared" si="4"/>
        <v>46.735103572696985</v>
      </c>
      <c r="F82" s="380">
        <f t="shared" si="6"/>
        <v>18147783.560000002</v>
      </c>
      <c r="G82" s="390"/>
    </row>
    <row r="83" spans="1:7" s="371" customFormat="1" ht="24.6" customHeight="1">
      <c r="A83" s="429"/>
      <c r="B83" s="381" t="s">
        <v>500</v>
      </c>
      <c r="C83" s="414">
        <v>68622819.799999997</v>
      </c>
      <c r="D83" s="414">
        <v>34560720.799999997</v>
      </c>
      <c r="E83" s="373">
        <f t="shared" si="4"/>
        <v>50.363306114098215</v>
      </c>
      <c r="F83" s="380">
        <f t="shared" si="6"/>
        <v>34062099</v>
      </c>
      <c r="G83" s="390"/>
    </row>
    <row r="84" spans="1:7" s="371" customFormat="1" ht="24.6" customHeight="1">
      <c r="A84" s="429"/>
      <c r="B84" s="381" t="s">
        <v>506</v>
      </c>
      <c r="C84" s="414">
        <v>50169324.68</v>
      </c>
      <c r="D84" s="414">
        <v>27552209</v>
      </c>
      <c r="E84" s="373">
        <f t="shared" si="4"/>
        <v>54.918437064359551</v>
      </c>
      <c r="F84" s="380">
        <f t="shared" si="6"/>
        <v>22617115.68</v>
      </c>
      <c r="G84" s="390"/>
    </row>
    <row r="85" spans="1:7" s="371" customFormat="1" ht="24.6" customHeight="1">
      <c r="A85" s="429"/>
      <c r="B85" s="378" t="s">
        <v>233</v>
      </c>
      <c r="C85" s="414">
        <v>45325162.740000002</v>
      </c>
      <c r="D85" s="414">
        <v>22197548.809999999</v>
      </c>
      <c r="E85" s="373">
        <f t="shared" si="4"/>
        <v>48.974007964036268</v>
      </c>
      <c r="F85" s="380">
        <f t="shared" si="6"/>
        <v>23127613.930000003</v>
      </c>
      <c r="G85" s="390"/>
    </row>
    <row r="86" spans="1:7" s="371" customFormat="1" ht="54.6" customHeight="1">
      <c r="A86" s="429"/>
      <c r="B86" s="433" t="s">
        <v>586</v>
      </c>
      <c r="C86" s="385">
        <f>C87+C88</f>
        <v>4386901.41</v>
      </c>
      <c r="D86" s="385">
        <f>D87+D88</f>
        <v>0</v>
      </c>
      <c r="E86" s="409">
        <f t="shared" si="4"/>
        <v>0</v>
      </c>
      <c r="F86" s="369">
        <f t="shared" si="6"/>
        <v>4386901.41</v>
      </c>
      <c r="G86" s="370" t="s">
        <v>587</v>
      </c>
    </row>
    <row r="87" spans="1:7" s="371" customFormat="1" ht="24.6" customHeight="1">
      <c r="A87" s="429"/>
      <c r="B87" s="410" t="s">
        <v>513</v>
      </c>
      <c r="C87" s="383">
        <v>3114700</v>
      </c>
      <c r="D87" s="383"/>
      <c r="E87" s="409">
        <f t="shared" si="4"/>
        <v>0</v>
      </c>
      <c r="F87" s="411">
        <f t="shared" si="6"/>
        <v>3114700</v>
      </c>
      <c r="G87" s="370"/>
    </row>
    <row r="88" spans="1:7" s="371" customFormat="1" ht="24.6" customHeight="1">
      <c r="A88" s="429"/>
      <c r="B88" s="410" t="s">
        <v>476</v>
      </c>
      <c r="C88" s="383">
        <v>1272201.4099999999</v>
      </c>
      <c r="D88" s="383"/>
      <c r="E88" s="409">
        <f t="shared" si="4"/>
        <v>0</v>
      </c>
      <c r="F88" s="380">
        <f t="shared" si="6"/>
        <v>1272201.4099999999</v>
      </c>
      <c r="G88" s="370"/>
    </row>
    <row r="89" spans="1:7" s="371" customFormat="1" ht="51" customHeight="1">
      <c r="A89" s="429"/>
      <c r="B89" s="386" t="s">
        <v>588</v>
      </c>
      <c r="C89" s="395">
        <f>C90+C91</f>
        <v>8161830.9900000002</v>
      </c>
      <c r="D89" s="383"/>
      <c r="E89" s="409">
        <f t="shared" si="4"/>
        <v>0</v>
      </c>
      <c r="F89" s="434">
        <f t="shared" si="6"/>
        <v>8161830.9900000002</v>
      </c>
      <c r="G89" s="435" t="s">
        <v>589</v>
      </c>
    </row>
    <row r="90" spans="1:7" s="371" customFormat="1" ht="24.6" customHeight="1">
      <c r="A90" s="429"/>
      <c r="B90" s="378" t="s">
        <v>474</v>
      </c>
      <c r="C90" s="396">
        <v>5794900</v>
      </c>
      <c r="D90" s="383"/>
      <c r="E90" s="409">
        <f t="shared" si="4"/>
        <v>0</v>
      </c>
      <c r="F90" s="380">
        <f t="shared" si="6"/>
        <v>5794900</v>
      </c>
      <c r="G90" s="412"/>
    </row>
    <row r="91" spans="1:7" s="371" customFormat="1" ht="24.6" customHeight="1">
      <c r="A91" s="429"/>
      <c r="B91" s="378" t="s">
        <v>476</v>
      </c>
      <c r="C91" s="414">
        <v>2366930.9900000002</v>
      </c>
      <c r="D91" s="383"/>
      <c r="E91" s="409">
        <f t="shared" si="4"/>
        <v>0</v>
      </c>
      <c r="F91" s="380">
        <f t="shared" si="6"/>
        <v>2366930.9900000002</v>
      </c>
      <c r="G91" s="412"/>
    </row>
    <row r="92" spans="1:7" ht="38.450000000000003" customHeight="1">
      <c r="A92" s="241" t="s">
        <v>76</v>
      </c>
      <c r="B92" s="340" t="s">
        <v>77</v>
      </c>
      <c r="C92" s="191">
        <f>C93+C101+C112</f>
        <v>155582083.49000001</v>
      </c>
      <c r="D92" s="357">
        <f>D93+D101+D112</f>
        <v>0</v>
      </c>
      <c r="E92" s="192">
        <f>(D92/C92)*100</f>
        <v>0</v>
      </c>
      <c r="F92" s="193">
        <f>C92-D92</f>
        <v>155582083.49000001</v>
      </c>
      <c r="G92" s="152"/>
    </row>
    <row r="93" spans="1:7" ht="49.5" customHeight="1">
      <c r="A93" s="341" t="s">
        <v>178</v>
      </c>
      <c r="B93" s="339" t="s">
        <v>516</v>
      </c>
      <c r="C93" s="323">
        <f>C94+C95+C96+C97+C98+C99+C100</f>
        <v>30899399.999999993</v>
      </c>
      <c r="D93" s="357">
        <f>D94+D95+D96+D97+D98+D99+D100</f>
        <v>0</v>
      </c>
      <c r="E93" s="161">
        <f>(D93/C93)*100</f>
        <v>0</v>
      </c>
      <c r="F93" s="323">
        <f>F94+F95+F96+F97+F98+F99+F100</f>
        <v>30899399.999999993</v>
      </c>
      <c r="G93" s="152"/>
    </row>
    <row r="94" spans="1:7" s="371" customFormat="1" ht="49.5" customHeight="1">
      <c r="A94" s="366" t="s">
        <v>590</v>
      </c>
      <c r="B94" s="367" t="s">
        <v>591</v>
      </c>
      <c r="C94" s="368">
        <v>5700000</v>
      </c>
      <c r="D94" s="368"/>
      <c r="E94" s="368"/>
      <c r="F94" s="369">
        <f t="shared" ref="F94:F100" si="7">C94-D94</f>
        <v>5700000</v>
      </c>
      <c r="G94" s="370" t="s">
        <v>23</v>
      </c>
    </row>
    <row r="95" spans="1:7" s="371" customFormat="1" ht="26.1" customHeight="1">
      <c r="A95" s="366" t="s">
        <v>592</v>
      </c>
      <c r="B95" s="372" t="s">
        <v>593</v>
      </c>
      <c r="C95" s="368">
        <v>24300000</v>
      </c>
      <c r="D95" s="368"/>
      <c r="E95" s="373">
        <f t="shared" ref="E95:E105" si="8">(D95/C95)*100</f>
        <v>0</v>
      </c>
      <c r="F95" s="369">
        <f t="shared" si="7"/>
        <v>24300000</v>
      </c>
      <c r="G95" s="370" t="s">
        <v>23</v>
      </c>
    </row>
    <row r="96" spans="1:7" s="371" customFormat="1" ht="35.1" customHeight="1">
      <c r="A96" s="366" t="s">
        <v>594</v>
      </c>
      <c r="B96" s="372" t="s">
        <v>595</v>
      </c>
      <c r="C96" s="368">
        <v>189347.4</v>
      </c>
      <c r="D96" s="368"/>
      <c r="E96" s="373">
        <f t="shared" si="8"/>
        <v>0</v>
      </c>
      <c r="F96" s="369">
        <f t="shared" si="7"/>
        <v>189347.4</v>
      </c>
      <c r="G96" s="374" t="s">
        <v>518</v>
      </c>
    </row>
    <row r="97" spans="1:7" s="371" customFormat="1" ht="35.1" customHeight="1">
      <c r="A97" s="366" t="s">
        <v>596</v>
      </c>
      <c r="B97" s="372" t="s">
        <v>597</v>
      </c>
      <c r="C97" s="368">
        <v>189347.4</v>
      </c>
      <c r="D97" s="368"/>
      <c r="E97" s="373">
        <f t="shared" si="8"/>
        <v>0</v>
      </c>
      <c r="F97" s="369">
        <f t="shared" si="7"/>
        <v>189347.4</v>
      </c>
      <c r="G97" s="374" t="s">
        <v>518</v>
      </c>
    </row>
    <row r="98" spans="1:7" s="371" customFormat="1" ht="35.1" customHeight="1">
      <c r="A98" s="366" t="s">
        <v>598</v>
      </c>
      <c r="B98" s="372" t="s">
        <v>599</v>
      </c>
      <c r="C98" s="368">
        <v>189347.4</v>
      </c>
      <c r="D98" s="368"/>
      <c r="E98" s="373">
        <f t="shared" si="8"/>
        <v>0</v>
      </c>
      <c r="F98" s="369">
        <f t="shared" si="7"/>
        <v>189347.4</v>
      </c>
      <c r="G98" s="374" t="s">
        <v>518</v>
      </c>
    </row>
    <row r="99" spans="1:7" s="371" customFormat="1" ht="35.1" customHeight="1">
      <c r="A99" s="366" t="s">
        <v>600</v>
      </c>
      <c r="B99" s="372" t="s">
        <v>601</v>
      </c>
      <c r="C99" s="368">
        <v>142010.4</v>
      </c>
      <c r="D99" s="368"/>
      <c r="E99" s="373">
        <f t="shared" si="8"/>
        <v>0</v>
      </c>
      <c r="F99" s="369">
        <f t="shared" si="7"/>
        <v>142010.4</v>
      </c>
      <c r="G99" s="374" t="s">
        <v>518</v>
      </c>
    </row>
    <row r="100" spans="1:7" s="371" customFormat="1" ht="35.1" customHeight="1">
      <c r="A100" s="366" t="s">
        <v>602</v>
      </c>
      <c r="B100" s="372" t="s">
        <v>603</v>
      </c>
      <c r="C100" s="368">
        <v>189347.4</v>
      </c>
      <c r="D100" s="368"/>
      <c r="E100" s="373">
        <f t="shared" si="8"/>
        <v>0</v>
      </c>
      <c r="F100" s="369">
        <f t="shared" si="7"/>
        <v>189347.4</v>
      </c>
      <c r="G100" s="374" t="s">
        <v>518</v>
      </c>
    </row>
    <row r="101" spans="1:7" ht="72.75" customHeight="1">
      <c r="A101" s="341" t="s">
        <v>179</v>
      </c>
      <c r="B101" s="339" t="s">
        <v>517</v>
      </c>
      <c r="C101" s="323">
        <f>C102+C103+C107+C108+C109+C110+C111</f>
        <v>48026012</v>
      </c>
      <c r="D101" s="357">
        <f>D102+D103+D107+D108+D109+D110+D111</f>
        <v>0</v>
      </c>
      <c r="E101" s="324">
        <f t="shared" si="8"/>
        <v>0</v>
      </c>
      <c r="F101" s="323">
        <f>F102+F103+F107+F108+F109+F110+F111</f>
        <v>48026012</v>
      </c>
      <c r="G101" s="146"/>
    </row>
    <row r="102" spans="1:7" s="371" customFormat="1" ht="33.6" customHeight="1">
      <c r="A102" s="366" t="s">
        <v>604</v>
      </c>
      <c r="B102" s="384" t="s">
        <v>106</v>
      </c>
      <c r="C102" s="385">
        <v>5400000</v>
      </c>
      <c r="D102" s="383"/>
      <c r="E102" s="373">
        <f t="shared" si="8"/>
        <v>0</v>
      </c>
      <c r="F102" s="369">
        <f>C102-D102</f>
        <v>5400000</v>
      </c>
      <c r="G102" s="374" t="s">
        <v>471</v>
      </c>
    </row>
    <row r="103" spans="1:7" s="371" customFormat="1" ht="42.6" customHeight="1">
      <c r="A103" s="366" t="s">
        <v>605</v>
      </c>
      <c r="B103" s="375" t="s">
        <v>606</v>
      </c>
      <c r="C103" s="376">
        <f>C104+C105+C106</f>
        <v>2217792</v>
      </c>
      <c r="D103" s="376">
        <f>D104+D105+D106</f>
        <v>0</v>
      </c>
      <c r="E103" s="373">
        <f t="shared" si="8"/>
        <v>0</v>
      </c>
      <c r="F103" s="369">
        <f>C103-D103</f>
        <v>2217792</v>
      </c>
      <c r="G103" s="377" t="s">
        <v>607</v>
      </c>
    </row>
    <row r="104" spans="1:7" s="371" customFormat="1" ht="24.6" customHeight="1">
      <c r="A104" s="366"/>
      <c r="B104" s="378" t="s">
        <v>509</v>
      </c>
      <c r="C104" s="379">
        <v>2106737</v>
      </c>
      <c r="D104" s="379"/>
      <c r="E104" s="373">
        <f t="shared" si="8"/>
        <v>0</v>
      </c>
      <c r="F104" s="380">
        <f>C104-D104</f>
        <v>2106737</v>
      </c>
      <c r="G104" s="377"/>
    </row>
    <row r="105" spans="1:7" s="371" customFormat="1" ht="26.1" customHeight="1">
      <c r="A105" s="366"/>
      <c r="B105" s="381" t="s">
        <v>499</v>
      </c>
      <c r="C105" s="379">
        <v>111055</v>
      </c>
      <c r="D105" s="379"/>
      <c r="E105" s="373">
        <f t="shared" si="8"/>
        <v>0</v>
      </c>
      <c r="F105" s="380">
        <f>C105-D105</f>
        <v>111055</v>
      </c>
      <c r="G105" s="377"/>
    </row>
    <row r="106" spans="1:7" s="371" customFormat="1" ht="26.1" customHeight="1">
      <c r="A106" s="366"/>
      <c r="B106" s="381" t="s">
        <v>506</v>
      </c>
      <c r="C106" s="376">
        <v>0</v>
      </c>
      <c r="D106" s="379"/>
      <c r="E106" s="373"/>
      <c r="F106" s="369"/>
      <c r="G106" s="377"/>
    </row>
    <row r="107" spans="1:7" s="371" customFormat="1" ht="33.6" customHeight="1">
      <c r="A107" s="366" t="s">
        <v>608</v>
      </c>
      <c r="B107" s="382" t="s">
        <v>609</v>
      </c>
      <c r="C107" s="376">
        <v>221000</v>
      </c>
      <c r="D107" s="383"/>
      <c r="E107" s="373">
        <f>(D107/C107)*100</f>
        <v>0</v>
      </c>
      <c r="F107" s="369">
        <f t="shared" ref="F107:F128" si="9">C107-D107</f>
        <v>221000</v>
      </c>
      <c r="G107" s="377" t="s">
        <v>610</v>
      </c>
    </row>
    <row r="108" spans="1:7" s="371" customFormat="1" ht="42" customHeight="1">
      <c r="A108" s="366" t="s">
        <v>611</v>
      </c>
      <c r="B108" s="384" t="s">
        <v>612</v>
      </c>
      <c r="C108" s="376">
        <v>9600000</v>
      </c>
      <c r="D108" s="383"/>
      <c r="E108" s="373">
        <f>(D108/C108)*100</f>
        <v>0</v>
      </c>
      <c r="F108" s="369">
        <f t="shared" si="9"/>
        <v>9600000</v>
      </c>
      <c r="G108" s="374" t="s">
        <v>518</v>
      </c>
    </row>
    <row r="109" spans="1:7" s="371" customFormat="1" ht="29.1" customHeight="1">
      <c r="A109" s="366" t="s">
        <v>613</v>
      </c>
      <c r="B109" s="375" t="s">
        <v>614</v>
      </c>
      <c r="C109" s="376">
        <v>18567322</v>
      </c>
      <c r="D109" s="379"/>
      <c r="E109" s="373">
        <f>(D109/C109)*100</f>
        <v>0</v>
      </c>
      <c r="F109" s="369">
        <f t="shared" si="9"/>
        <v>18567322</v>
      </c>
      <c r="G109" s="374" t="s">
        <v>518</v>
      </c>
    </row>
    <row r="110" spans="1:7" s="371" customFormat="1" ht="29.1" customHeight="1">
      <c r="A110" s="366" t="s">
        <v>615</v>
      </c>
      <c r="B110" s="375" t="s">
        <v>616</v>
      </c>
      <c r="C110" s="376">
        <v>2247623</v>
      </c>
      <c r="D110" s="379"/>
      <c r="E110" s="373">
        <f>(D110/C110)*100</f>
        <v>0</v>
      </c>
      <c r="F110" s="369">
        <f t="shared" si="9"/>
        <v>2247623</v>
      </c>
      <c r="G110" s="374" t="s">
        <v>518</v>
      </c>
    </row>
    <row r="111" spans="1:7" s="371" customFormat="1" ht="29.1" customHeight="1">
      <c r="A111" s="366" t="s">
        <v>617</v>
      </c>
      <c r="B111" s="375" t="s">
        <v>618</v>
      </c>
      <c r="C111" s="376">
        <v>9772275</v>
      </c>
      <c r="D111" s="379"/>
      <c r="E111" s="373">
        <f>(D111/C111)*100</f>
        <v>0</v>
      </c>
      <c r="F111" s="369">
        <f t="shared" si="9"/>
        <v>9772275</v>
      </c>
      <c r="G111" s="374" t="s">
        <v>518</v>
      </c>
    </row>
    <row r="112" spans="1:7" ht="41.1" customHeight="1">
      <c r="A112" s="342" t="s">
        <v>619</v>
      </c>
      <c r="B112" s="328" t="s">
        <v>575</v>
      </c>
      <c r="C112" s="155">
        <f>C113+C114+C117+C118+C119+C120</f>
        <v>76656671.49000001</v>
      </c>
      <c r="D112" s="357">
        <f>D113+D114+D117+D118+D119+D120</f>
        <v>0</v>
      </c>
      <c r="E112" s="156"/>
      <c r="F112" s="155">
        <f t="shared" si="9"/>
        <v>76656671.49000001</v>
      </c>
      <c r="G112" s="329"/>
    </row>
    <row r="113" spans="1:7" s="371" customFormat="1" ht="32.1" customHeight="1">
      <c r="A113" s="366"/>
      <c r="B113" s="384" t="s">
        <v>216</v>
      </c>
      <c r="C113" s="368">
        <v>4050000</v>
      </c>
      <c r="D113" s="368"/>
      <c r="E113" s="373">
        <f t="shared" ref="E113:E128" si="10">(D113/C113)*100</f>
        <v>0</v>
      </c>
      <c r="F113" s="369">
        <f t="shared" si="9"/>
        <v>4050000</v>
      </c>
      <c r="G113" s="374" t="s">
        <v>471</v>
      </c>
    </row>
    <row r="114" spans="1:7" s="371" customFormat="1" ht="40.35" customHeight="1">
      <c r="A114" s="366"/>
      <c r="B114" s="386" t="s">
        <v>478</v>
      </c>
      <c r="C114" s="368">
        <f>C115+C116</f>
        <v>42553191.490000002</v>
      </c>
      <c r="D114" s="368"/>
      <c r="E114" s="373">
        <f t="shared" si="10"/>
        <v>0</v>
      </c>
      <c r="F114" s="369">
        <f t="shared" si="9"/>
        <v>42553191.490000002</v>
      </c>
      <c r="G114" s="370" t="s">
        <v>471</v>
      </c>
    </row>
    <row r="115" spans="1:7" s="371" customFormat="1" ht="29.1" customHeight="1">
      <c r="A115" s="366"/>
      <c r="B115" s="378" t="s">
        <v>474</v>
      </c>
      <c r="C115" s="387">
        <v>40000000</v>
      </c>
      <c r="D115" s="368"/>
      <c r="E115" s="373">
        <f t="shared" si="10"/>
        <v>0</v>
      </c>
      <c r="F115" s="380">
        <f t="shared" si="9"/>
        <v>40000000</v>
      </c>
      <c r="G115" s="370"/>
    </row>
    <row r="116" spans="1:7" s="371" customFormat="1" ht="32.1" customHeight="1">
      <c r="A116" s="366"/>
      <c r="B116" s="378" t="s">
        <v>476</v>
      </c>
      <c r="C116" s="387">
        <v>2553191.4900000002</v>
      </c>
      <c r="D116" s="368"/>
      <c r="E116" s="373">
        <f t="shared" si="10"/>
        <v>0</v>
      </c>
      <c r="F116" s="380">
        <f t="shared" si="9"/>
        <v>2553191.4900000002</v>
      </c>
      <c r="G116" s="370"/>
    </row>
    <row r="117" spans="1:7" s="371" customFormat="1" ht="32.1" customHeight="1">
      <c r="A117" s="366" t="s">
        <v>620</v>
      </c>
      <c r="B117" s="384" t="s">
        <v>621</v>
      </c>
      <c r="C117" s="376">
        <v>3877094</v>
      </c>
      <c r="D117" s="383"/>
      <c r="E117" s="373">
        <f t="shared" si="10"/>
        <v>0</v>
      </c>
      <c r="F117" s="369">
        <f t="shared" si="9"/>
        <v>3877094</v>
      </c>
      <c r="G117" s="374" t="s">
        <v>518</v>
      </c>
    </row>
    <row r="118" spans="1:7" s="371" customFormat="1" ht="38.1" customHeight="1">
      <c r="A118" s="366" t="s">
        <v>622</v>
      </c>
      <c r="B118" s="384" t="s">
        <v>623</v>
      </c>
      <c r="C118" s="376">
        <v>24430686</v>
      </c>
      <c r="D118" s="383"/>
      <c r="E118" s="373">
        <f t="shared" si="10"/>
        <v>0</v>
      </c>
      <c r="F118" s="369">
        <f t="shared" si="9"/>
        <v>24430686</v>
      </c>
      <c r="G118" s="374" t="s">
        <v>518</v>
      </c>
    </row>
    <row r="119" spans="1:7" s="371" customFormat="1" ht="48" customHeight="1">
      <c r="A119" s="366" t="s">
        <v>624</v>
      </c>
      <c r="B119" s="384" t="s">
        <v>625</v>
      </c>
      <c r="C119" s="376">
        <v>1047420</v>
      </c>
      <c r="D119" s="379"/>
      <c r="E119" s="373">
        <f t="shared" si="10"/>
        <v>0</v>
      </c>
      <c r="F119" s="369">
        <f t="shared" si="9"/>
        <v>1047420</v>
      </c>
      <c r="G119" s="374"/>
    </row>
    <row r="120" spans="1:7" s="371" customFormat="1" ht="45.6" customHeight="1">
      <c r="A120" s="366" t="s">
        <v>626</v>
      </c>
      <c r="B120" s="384" t="s">
        <v>627</v>
      </c>
      <c r="C120" s="376">
        <v>698280</v>
      </c>
      <c r="D120" s="379"/>
      <c r="E120" s="373">
        <f t="shared" si="10"/>
        <v>0</v>
      </c>
      <c r="F120" s="369">
        <f t="shared" si="9"/>
        <v>698280</v>
      </c>
      <c r="G120" s="374"/>
    </row>
    <row r="121" spans="1:7" s="371" customFormat="1" ht="31.5">
      <c r="A121" s="388" t="s">
        <v>129</v>
      </c>
      <c r="B121" s="389" t="s">
        <v>130</v>
      </c>
      <c r="C121" s="368">
        <f>C122</f>
        <v>28753910.530000001</v>
      </c>
      <c r="D121" s="368">
        <f>D122</f>
        <v>13469752.199999999</v>
      </c>
      <c r="E121" s="373">
        <f t="shared" si="10"/>
        <v>46.84494022455317</v>
      </c>
      <c r="F121" s="369">
        <f t="shared" si="9"/>
        <v>15284158.330000002</v>
      </c>
      <c r="G121" s="390"/>
    </row>
    <row r="122" spans="1:7" s="371" customFormat="1" ht="59.1" customHeight="1">
      <c r="A122" s="391" t="s">
        <v>134</v>
      </c>
      <c r="B122" s="392" t="s">
        <v>519</v>
      </c>
      <c r="C122" s="385">
        <f>C123+C124+C125+C126+C127</f>
        <v>28753910.530000001</v>
      </c>
      <c r="D122" s="385">
        <f>D123+D124+D125+D126+D127</f>
        <v>13469752.199999999</v>
      </c>
      <c r="E122" s="373">
        <f t="shared" si="10"/>
        <v>46.84494022455317</v>
      </c>
      <c r="F122" s="369">
        <f t="shared" si="9"/>
        <v>15284158.330000002</v>
      </c>
      <c r="G122" s="390"/>
    </row>
    <row r="123" spans="1:7" s="371" customFormat="1" ht="24.6" customHeight="1">
      <c r="A123" s="391"/>
      <c r="B123" s="381" t="s">
        <v>628</v>
      </c>
      <c r="C123" s="393">
        <v>24704143.34</v>
      </c>
      <c r="D123" s="387">
        <v>11733818.619999999</v>
      </c>
      <c r="E123" s="373">
        <f t="shared" si="10"/>
        <v>47.49737102197367</v>
      </c>
      <c r="F123" s="380">
        <f t="shared" si="9"/>
        <v>12970324.720000001</v>
      </c>
      <c r="G123" s="374" t="s">
        <v>471</v>
      </c>
    </row>
    <row r="124" spans="1:7" s="371" customFormat="1" ht="24.6" customHeight="1">
      <c r="A124" s="391"/>
      <c r="B124" s="381" t="s">
        <v>629</v>
      </c>
      <c r="C124" s="379">
        <v>584550</v>
      </c>
      <c r="D124" s="387">
        <v>456978.86</v>
      </c>
      <c r="E124" s="373">
        <f t="shared" si="10"/>
        <v>78.176179967496367</v>
      </c>
      <c r="F124" s="380">
        <f t="shared" si="9"/>
        <v>127571.14000000001</v>
      </c>
      <c r="G124" s="374" t="s">
        <v>471</v>
      </c>
    </row>
    <row r="125" spans="1:7" s="371" customFormat="1" ht="24.6" customHeight="1">
      <c r="A125" s="391"/>
      <c r="B125" s="381" t="s">
        <v>630</v>
      </c>
      <c r="C125" s="379">
        <v>3086342.19</v>
      </c>
      <c r="D125" s="387">
        <v>1160716.8</v>
      </c>
      <c r="E125" s="373">
        <f t="shared" si="10"/>
        <v>37.608169429845368</v>
      </c>
      <c r="F125" s="380">
        <f t="shared" si="9"/>
        <v>1925625.39</v>
      </c>
      <c r="G125" s="374" t="s">
        <v>471</v>
      </c>
    </row>
    <row r="126" spans="1:7" s="371" customFormat="1" ht="24.6" customHeight="1">
      <c r="A126" s="391"/>
      <c r="B126" s="381" t="s">
        <v>631</v>
      </c>
      <c r="C126" s="379">
        <v>378300</v>
      </c>
      <c r="D126" s="387">
        <v>117787.92</v>
      </c>
      <c r="E126" s="373">
        <f t="shared" si="10"/>
        <v>31.136114195083266</v>
      </c>
      <c r="F126" s="380">
        <f t="shared" si="9"/>
        <v>260512.08000000002</v>
      </c>
      <c r="G126" s="374" t="s">
        <v>471</v>
      </c>
    </row>
    <row r="127" spans="1:7" s="371" customFormat="1" ht="24.6" customHeight="1">
      <c r="A127" s="391"/>
      <c r="B127" s="381" t="s">
        <v>632</v>
      </c>
      <c r="C127" s="379">
        <v>575</v>
      </c>
      <c r="D127" s="387">
        <v>450</v>
      </c>
      <c r="E127" s="373">
        <f t="shared" si="10"/>
        <v>78.260869565217391</v>
      </c>
      <c r="F127" s="380">
        <f t="shared" si="9"/>
        <v>125</v>
      </c>
      <c r="G127" s="374"/>
    </row>
    <row r="128" spans="1:7" ht="38.1" customHeight="1">
      <c r="A128" s="254"/>
      <c r="B128" s="255" t="s">
        <v>520</v>
      </c>
      <c r="C128" s="256">
        <f t="shared" ref="C128:F129" si="11">C129</f>
        <v>1686585.5</v>
      </c>
      <c r="D128" s="357">
        <f t="shared" si="11"/>
        <v>1591653.5</v>
      </c>
      <c r="E128" s="257">
        <f t="shared" si="10"/>
        <v>94.371349688468214</v>
      </c>
      <c r="F128" s="258">
        <f t="shared" si="9"/>
        <v>94932</v>
      </c>
      <c r="G128" s="146"/>
    </row>
    <row r="129" spans="1:7" ht="42.75" customHeight="1">
      <c r="A129" s="259"/>
      <c r="B129" s="260" t="s">
        <v>521</v>
      </c>
      <c r="C129" s="198">
        <f>C130</f>
        <v>1686585.5</v>
      </c>
      <c r="D129" s="357">
        <f t="shared" si="11"/>
        <v>1591653.5</v>
      </c>
      <c r="E129" s="198">
        <f t="shared" si="11"/>
        <v>94.371349688468214</v>
      </c>
      <c r="F129" s="198">
        <f t="shared" si="11"/>
        <v>94932</v>
      </c>
      <c r="G129" s="146"/>
    </row>
    <row r="130" spans="1:7" ht="46.35" customHeight="1">
      <c r="A130" s="345"/>
      <c r="B130" s="343" t="s">
        <v>522</v>
      </c>
      <c r="C130" s="323">
        <f>C131+C132</f>
        <v>1686585.5</v>
      </c>
      <c r="D130" s="357">
        <f>D131+D132</f>
        <v>1591653.5</v>
      </c>
      <c r="E130" s="324">
        <f t="shared" ref="E130:E136" si="12">(D130/C130)*100</f>
        <v>94.371349688468214</v>
      </c>
      <c r="F130" s="323">
        <f>F131+F132</f>
        <v>94932</v>
      </c>
      <c r="G130" s="146"/>
    </row>
    <row r="131" spans="1:7" ht="53.45" customHeight="1">
      <c r="A131" s="262"/>
      <c r="B131" s="263" t="s">
        <v>523</v>
      </c>
      <c r="C131" s="248">
        <v>387980</v>
      </c>
      <c r="D131" s="360">
        <v>293048</v>
      </c>
      <c r="E131" s="161">
        <f t="shared" si="12"/>
        <v>75.531728439610291</v>
      </c>
      <c r="F131" s="172">
        <f t="shared" ref="F131:F136" si="13">C131-D131</f>
        <v>94932</v>
      </c>
      <c r="G131" s="167" t="s">
        <v>23</v>
      </c>
    </row>
    <row r="132" spans="1:7" ht="67.349999999999994" customHeight="1">
      <c r="A132" s="259"/>
      <c r="B132" s="265" t="s">
        <v>524</v>
      </c>
      <c r="C132" s="266">
        <v>1298605.5</v>
      </c>
      <c r="D132" s="360">
        <v>1298605.5</v>
      </c>
      <c r="E132" s="161">
        <f t="shared" si="12"/>
        <v>100</v>
      </c>
      <c r="F132" s="166">
        <f t="shared" si="13"/>
        <v>0</v>
      </c>
      <c r="G132" s="167" t="s">
        <v>23</v>
      </c>
    </row>
    <row r="133" spans="1:7" ht="39.6" customHeight="1">
      <c r="A133" s="268"/>
      <c r="B133" s="269" t="s">
        <v>525</v>
      </c>
      <c r="C133" s="270">
        <f t="shared" ref="C133:D135" si="14">C134</f>
        <v>268272</v>
      </c>
      <c r="D133" s="357">
        <f t="shared" si="14"/>
        <v>97604</v>
      </c>
      <c r="E133" s="257">
        <f t="shared" si="12"/>
        <v>36.382477485537066</v>
      </c>
      <c r="F133" s="271">
        <f t="shared" si="13"/>
        <v>170668</v>
      </c>
      <c r="G133" s="146"/>
    </row>
    <row r="134" spans="1:7" ht="47.25">
      <c r="A134" s="272"/>
      <c r="B134" s="273" t="s">
        <v>526</v>
      </c>
      <c r="C134" s="198">
        <f>C135</f>
        <v>268272</v>
      </c>
      <c r="D134" s="357">
        <f>D135</f>
        <v>97604</v>
      </c>
      <c r="E134" s="161">
        <f t="shared" si="12"/>
        <v>36.382477485537066</v>
      </c>
      <c r="F134" s="166">
        <f t="shared" si="13"/>
        <v>170668</v>
      </c>
      <c r="G134" s="146"/>
    </row>
    <row r="135" spans="1:7" ht="51" customHeight="1">
      <c r="A135" s="346"/>
      <c r="B135" s="347" t="s">
        <v>528</v>
      </c>
      <c r="C135" s="323">
        <f t="shared" si="14"/>
        <v>268272</v>
      </c>
      <c r="D135" s="357">
        <f t="shared" si="14"/>
        <v>97604</v>
      </c>
      <c r="E135" s="324">
        <f t="shared" si="12"/>
        <v>36.382477485537066</v>
      </c>
      <c r="F135" s="344">
        <f t="shared" si="13"/>
        <v>170668</v>
      </c>
      <c r="G135" s="146"/>
    </row>
    <row r="136" spans="1:7" ht="29.45" customHeight="1">
      <c r="A136" s="272"/>
      <c r="B136" s="276" t="s">
        <v>529</v>
      </c>
      <c r="C136" s="277">
        <v>268272</v>
      </c>
      <c r="D136" s="361">
        <v>97604</v>
      </c>
      <c r="E136" s="161">
        <f t="shared" si="12"/>
        <v>36.382477485537066</v>
      </c>
      <c r="F136" s="166">
        <f t="shared" si="13"/>
        <v>170668</v>
      </c>
      <c r="G136" s="167" t="s">
        <v>23</v>
      </c>
    </row>
    <row r="137" spans="1:7" ht="15">
      <c r="C137" s="278"/>
      <c r="D137" s="362" t="s">
        <v>530</v>
      </c>
      <c r="E137" s="279"/>
      <c r="F137" s="278"/>
      <c r="G137" s="280"/>
    </row>
    <row r="138" spans="1:7" ht="15">
      <c r="C138" s="278"/>
      <c r="D138" s="362"/>
      <c r="E138" s="279"/>
      <c r="F138" s="278"/>
      <c r="G138" s="280"/>
    </row>
    <row r="139" spans="1:7" ht="15">
      <c r="C139" s="278"/>
      <c r="D139" s="362"/>
      <c r="E139" s="279"/>
      <c r="F139" s="278"/>
      <c r="G139" s="280"/>
    </row>
    <row r="140" spans="1:7" ht="15">
      <c r="C140" s="278"/>
      <c r="D140" s="362"/>
      <c r="E140" s="279"/>
      <c r="F140" s="278"/>
      <c r="G140" s="280"/>
    </row>
    <row r="141" spans="1:7" ht="15">
      <c r="C141" s="278"/>
      <c r="D141" s="362"/>
      <c r="E141" s="279"/>
      <c r="F141" s="278"/>
      <c r="G141" s="280"/>
    </row>
    <row r="142" spans="1:7" ht="15">
      <c r="C142" s="278"/>
      <c r="D142" s="362"/>
      <c r="E142" s="279"/>
      <c r="F142" s="278"/>
      <c r="G142" s="280"/>
    </row>
    <row r="143" spans="1:7" ht="15">
      <c r="C143" s="278"/>
      <c r="D143" s="362"/>
      <c r="E143" s="279"/>
      <c r="F143" s="278"/>
      <c r="G143" s="280"/>
    </row>
    <row r="144" spans="1:7" ht="15">
      <c r="C144" s="278"/>
      <c r="D144" s="362"/>
      <c r="E144" s="279"/>
      <c r="F144" s="278"/>
      <c r="G144" s="280"/>
    </row>
    <row r="145" spans="3:7" ht="15">
      <c r="C145" s="278"/>
      <c r="D145" s="362"/>
      <c r="E145" s="279"/>
      <c r="F145" s="278"/>
      <c r="G145" s="280"/>
    </row>
    <row r="146" spans="3:7" ht="15">
      <c r="C146" s="278"/>
      <c r="D146" s="362"/>
      <c r="E146" s="279"/>
      <c r="F146" s="278"/>
      <c r="G146" s="280"/>
    </row>
    <row r="147" spans="3:7" ht="15">
      <c r="C147" s="278"/>
      <c r="D147" s="362"/>
      <c r="E147" s="279"/>
      <c r="F147" s="278"/>
      <c r="G147" s="280"/>
    </row>
    <row r="148" spans="3:7" ht="15">
      <c r="C148" s="278"/>
      <c r="D148" s="362"/>
      <c r="E148" s="279"/>
      <c r="F148" s="278"/>
      <c r="G148" s="280"/>
    </row>
    <row r="149" spans="3:7">
      <c r="C149" s="278"/>
      <c r="D149" s="363"/>
      <c r="E149" s="278"/>
      <c r="F149" s="278"/>
      <c r="G149" s="280"/>
    </row>
    <row r="150" spans="3:7">
      <c r="C150" s="278"/>
      <c r="D150" s="363"/>
      <c r="E150" s="278"/>
      <c r="F150" s="278"/>
      <c r="G150" s="280"/>
    </row>
    <row r="151" spans="3:7">
      <c r="C151" s="278"/>
      <c r="D151" s="363"/>
      <c r="E151" s="278"/>
      <c r="F151" s="278"/>
      <c r="G151" s="280"/>
    </row>
    <row r="152" spans="3:7">
      <c r="C152" s="278"/>
      <c r="D152" s="363"/>
      <c r="E152" s="278"/>
      <c r="F152" s="278"/>
      <c r="G152" s="280"/>
    </row>
    <row r="153" spans="3:7">
      <c r="C153" s="278"/>
      <c r="D153" s="363"/>
      <c r="E153" s="278"/>
      <c r="F153" s="278"/>
      <c r="G153" s="280"/>
    </row>
    <row r="154" spans="3:7">
      <c r="C154" s="278"/>
      <c r="D154" s="363"/>
      <c r="E154" s="278"/>
      <c r="F154" s="278"/>
      <c r="G154" s="280"/>
    </row>
    <row r="155" spans="3:7">
      <c r="C155" s="278"/>
      <c r="D155" s="363"/>
      <c r="E155" s="278"/>
      <c r="F155" s="278"/>
      <c r="G155" s="280"/>
    </row>
    <row r="156" spans="3:7">
      <c r="C156" s="278"/>
      <c r="D156" s="363"/>
      <c r="E156" s="278"/>
      <c r="F156" s="278"/>
      <c r="G156" s="280"/>
    </row>
    <row r="157" spans="3:7">
      <c r="C157" s="278"/>
      <c r="D157" s="363"/>
      <c r="E157" s="278"/>
      <c r="F157" s="278"/>
      <c r="G157" s="280"/>
    </row>
    <row r="158" spans="3:7">
      <c r="C158" s="278"/>
      <c r="D158" s="363"/>
      <c r="E158" s="278"/>
      <c r="F158" s="278"/>
      <c r="G158" s="280"/>
    </row>
    <row r="159" spans="3:7">
      <c r="C159" s="278"/>
      <c r="D159" s="363"/>
      <c r="E159" s="278"/>
      <c r="F159" s="278"/>
      <c r="G159" s="280"/>
    </row>
    <row r="160" spans="3:7">
      <c r="C160" s="278"/>
      <c r="D160" s="363"/>
      <c r="E160" s="278"/>
      <c r="F160" s="278"/>
      <c r="G160" s="280"/>
    </row>
    <row r="161" spans="3:7">
      <c r="C161" s="278"/>
      <c r="D161" s="363"/>
      <c r="E161" s="278"/>
      <c r="F161" s="278"/>
      <c r="G161" s="280"/>
    </row>
    <row r="162" spans="3:7">
      <c r="C162" s="278"/>
      <c r="D162" s="363"/>
      <c r="E162" s="278"/>
      <c r="F162" s="278"/>
      <c r="G162" s="280"/>
    </row>
    <row r="163" spans="3:7">
      <c r="C163" s="278"/>
      <c r="D163" s="363"/>
      <c r="E163" s="278"/>
      <c r="F163" s="278"/>
      <c r="G163" s="280"/>
    </row>
    <row r="164" spans="3:7">
      <c r="C164" s="278"/>
      <c r="D164" s="363"/>
      <c r="E164" s="278"/>
      <c r="F164" s="278"/>
      <c r="G164" s="280"/>
    </row>
    <row r="165" spans="3:7">
      <c r="C165" s="278"/>
      <c r="D165" s="363"/>
      <c r="E165" s="278"/>
      <c r="F165" s="278"/>
      <c r="G165" s="280"/>
    </row>
    <row r="166" spans="3:7">
      <c r="C166" s="278"/>
      <c r="F166" s="278"/>
      <c r="G166" s="280"/>
    </row>
    <row r="167" spans="3:7">
      <c r="C167" s="278"/>
      <c r="F167" s="278"/>
      <c r="G167" s="280"/>
    </row>
    <row r="168" spans="3:7">
      <c r="C168" s="278"/>
      <c r="F168" s="278"/>
      <c r="G168" s="280"/>
    </row>
    <row r="169" spans="3:7">
      <c r="C169" s="278"/>
      <c r="F169" s="278"/>
      <c r="G169" s="280"/>
    </row>
    <row r="170" spans="3:7">
      <c r="C170" s="278"/>
      <c r="F170" s="278"/>
      <c r="G170" s="280"/>
    </row>
    <row r="171" spans="3:7">
      <c r="C171" s="278"/>
      <c r="F171" s="278"/>
      <c r="G171" s="280"/>
    </row>
    <row r="172" spans="3:7">
      <c r="C172" s="278"/>
      <c r="F172" s="278"/>
      <c r="G172" s="280"/>
    </row>
    <row r="173" spans="3:7">
      <c r="C173" s="278"/>
      <c r="F173" s="278"/>
      <c r="G173" s="280"/>
    </row>
    <row r="174" spans="3:7">
      <c r="C174" s="278"/>
      <c r="F174" s="278"/>
      <c r="G174" s="280"/>
    </row>
    <row r="175" spans="3:7">
      <c r="C175" s="278"/>
      <c r="F175" s="278"/>
      <c r="G175" s="280"/>
    </row>
    <row r="176" spans="3:7">
      <c r="C176" s="278"/>
      <c r="F176" s="278"/>
      <c r="G176" s="280"/>
    </row>
    <row r="177" spans="3:7">
      <c r="C177" s="278"/>
      <c r="F177" s="278"/>
      <c r="G177" s="280"/>
    </row>
    <row r="178" spans="3:7">
      <c r="C178" s="278"/>
      <c r="F178" s="278"/>
      <c r="G178" s="280"/>
    </row>
    <row r="179" spans="3:7">
      <c r="C179" s="278"/>
      <c r="F179" s="278"/>
      <c r="G179" s="280"/>
    </row>
    <row r="180" spans="3:7">
      <c r="C180" s="278"/>
      <c r="F180" s="278"/>
      <c r="G180" s="280"/>
    </row>
    <row r="181" spans="3:7">
      <c r="C181" s="278"/>
      <c r="F181" s="278"/>
      <c r="G181" s="280"/>
    </row>
    <row r="182" spans="3:7">
      <c r="C182" s="278"/>
      <c r="F182" s="278"/>
      <c r="G182" s="280"/>
    </row>
    <row r="183" spans="3:7">
      <c r="C183" s="278"/>
      <c r="F183" s="278"/>
      <c r="G183" s="280"/>
    </row>
    <row r="184" spans="3:7">
      <c r="C184" s="278"/>
      <c r="F184" s="278"/>
      <c r="G184" s="280"/>
    </row>
    <row r="185" spans="3:7">
      <c r="C185" s="278"/>
      <c r="F185" s="278"/>
      <c r="G185" s="280"/>
    </row>
    <row r="186" spans="3:7">
      <c r="C186" s="278"/>
      <c r="F186" s="278"/>
      <c r="G186" s="280"/>
    </row>
    <row r="187" spans="3:7">
      <c r="C187" s="278"/>
      <c r="F187" s="278"/>
      <c r="G187" s="280"/>
    </row>
    <row r="188" spans="3:7">
      <c r="C188" s="278"/>
      <c r="F188" s="278"/>
      <c r="G188" s="280"/>
    </row>
    <row r="189" spans="3:7">
      <c r="C189" s="278"/>
      <c r="F189" s="278"/>
      <c r="G189" s="280"/>
    </row>
    <row r="190" spans="3:7">
      <c r="C190" s="278"/>
      <c r="F190" s="278"/>
      <c r="G190" s="280"/>
    </row>
    <row r="191" spans="3:7">
      <c r="C191" s="278"/>
      <c r="F191" s="278"/>
      <c r="G191" s="280"/>
    </row>
    <row r="192" spans="3:7">
      <c r="C192" s="278"/>
      <c r="F192" s="278"/>
      <c r="G192" s="280"/>
    </row>
    <row r="193" spans="3:7">
      <c r="C193" s="278"/>
      <c r="F193" s="278"/>
      <c r="G193" s="280"/>
    </row>
    <row r="194" spans="3:7">
      <c r="C194" s="278"/>
      <c r="F194" s="278"/>
      <c r="G194" s="280"/>
    </row>
    <row r="195" spans="3:7">
      <c r="C195" s="278"/>
      <c r="F195" s="278"/>
      <c r="G195" s="280"/>
    </row>
    <row r="196" spans="3:7">
      <c r="C196" s="278"/>
      <c r="F196" s="278"/>
      <c r="G196" s="280"/>
    </row>
    <row r="197" spans="3:7">
      <c r="C197" s="278"/>
      <c r="F197" s="278"/>
      <c r="G197" s="280"/>
    </row>
    <row r="198" spans="3:7">
      <c r="C198" s="278"/>
      <c r="F198" s="278"/>
      <c r="G198" s="280"/>
    </row>
    <row r="199" spans="3:7">
      <c r="C199" s="278"/>
      <c r="F199" s="278"/>
      <c r="G199" s="280"/>
    </row>
    <row r="200" spans="3:7">
      <c r="C200" s="278"/>
      <c r="F200" s="278"/>
      <c r="G200" s="280"/>
    </row>
    <row r="201" spans="3:7">
      <c r="C201" s="278"/>
      <c r="F201" s="278"/>
      <c r="G201" s="280"/>
    </row>
    <row r="202" spans="3:7">
      <c r="C202" s="278"/>
      <c r="F202" s="278"/>
      <c r="G202" s="280"/>
    </row>
    <row r="203" spans="3:7">
      <c r="C203" s="278"/>
      <c r="F203" s="278"/>
      <c r="G203" s="280"/>
    </row>
    <row r="204" spans="3:7">
      <c r="C204" s="278"/>
      <c r="F204" s="278"/>
      <c r="G204" s="280"/>
    </row>
    <row r="205" spans="3:7">
      <c r="C205" s="278"/>
      <c r="F205" s="278"/>
      <c r="G205" s="280"/>
    </row>
    <row r="206" spans="3:7">
      <c r="C206" s="278"/>
      <c r="F206" s="278"/>
    </row>
    <row r="207" spans="3:7">
      <c r="C207" s="278"/>
      <c r="F207" s="278"/>
    </row>
    <row r="208" spans="3:7">
      <c r="C208" s="278"/>
      <c r="F208" s="278"/>
    </row>
    <row r="209" spans="3:6">
      <c r="C209" s="278"/>
      <c r="F209" s="278"/>
    </row>
    <row r="210" spans="3:6">
      <c r="C210" s="278"/>
      <c r="F210" s="278"/>
    </row>
    <row r="211" spans="3:6">
      <c r="C211" s="278"/>
      <c r="F211" s="278"/>
    </row>
    <row r="212" spans="3:6">
      <c r="C212" s="278"/>
      <c r="F212" s="278"/>
    </row>
    <row r="213" spans="3:6">
      <c r="C213" s="278"/>
      <c r="F213" s="278"/>
    </row>
    <row r="214" spans="3:6">
      <c r="C214" s="278"/>
      <c r="F214" s="278"/>
    </row>
    <row r="215" spans="3:6">
      <c r="C215" s="278"/>
      <c r="F215" s="278"/>
    </row>
    <row r="216" spans="3:6">
      <c r="C216" s="278"/>
      <c r="F216" s="278"/>
    </row>
    <row r="217" spans="3:6">
      <c r="C217" s="278"/>
      <c r="F217" s="278"/>
    </row>
    <row r="218" spans="3:6">
      <c r="C218" s="278"/>
      <c r="F218" s="278"/>
    </row>
    <row r="219" spans="3:6">
      <c r="C219" s="278"/>
      <c r="F219" s="278"/>
    </row>
    <row r="220" spans="3:6">
      <c r="C220" s="278"/>
      <c r="F220" s="278"/>
    </row>
    <row r="221" spans="3:6">
      <c r="C221" s="278"/>
      <c r="F221" s="278"/>
    </row>
    <row r="222" spans="3:6">
      <c r="C222" s="278"/>
      <c r="F222" s="278"/>
    </row>
    <row r="223" spans="3:6">
      <c r="C223" s="278"/>
      <c r="F223" s="278"/>
    </row>
    <row r="224" spans="3:6">
      <c r="C224" s="278"/>
      <c r="F224" s="278"/>
    </row>
    <row r="225" spans="3:6">
      <c r="C225" s="278"/>
      <c r="F225" s="278"/>
    </row>
    <row r="226" spans="3:6">
      <c r="C226" s="278"/>
      <c r="F226" s="278"/>
    </row>
    <row r="227" spans="3:6">
      <c r="C227" s="278"/>
      <c r="F227" s="278"/>
    </row>
    <row r="228" spans="3:6">
      <c r="C228" s="278"/>
      <c r="F228" s="278"/>
    </row>
    <row r="229" spans="3:6">
      <c r="C229" s="278"/>
      <c r="F229" s="278"/>
    </row>
    <row r="230" spans="3:6">
      <c r="C230" s="278"/>
      <c r="F230" s="278"/>
    </row>
    <row r="231" spans="3:6">
      <c r="C231" s="278"/>
      <c r="F231" s="278"/>
    </row>
    <row r="232" spans="3:6">
      <c r="C232" s="278"/>
      <c r="F232" s="278"/>
    </row>
    <row r="233" spans="3:6">
      <c r="C233" s="278"/>
      <c r="F233" s="278"/>
    </row>
    <row r="234" spans="3:6">
      <c r="C234" s="278"/>
      <c r="F234" s="278"/>
    </row>
    <row r="235" spans="3:6">
      <c r="C235" s="278"/>
      <c r="F235" s="278"/>
    </row>
    <row r="236" spans="3:6">
      <c r="C236" s="278"/>
      <c r="F236" s="278"/>
    </row>
    <row r="237" spans="3:6">
      <c r="C237" s="278"/>
      <c r="F237" s="278"/>
    </row>
    <row r="238" spans="3:6">
      <c r="C238" s="278"/>
      <c r="F238" s="278"/>
    </row>
    <row r="239" spans="3:6">
      <c r="C239" s="278"/>
      <c r="F239" s="278"/>
    </row>
    <row r="240" spans="3:6">
      <c r="C240" s="278"/>
      <c r="F240" s="278"/>
    </row>
    <row r="241" spans="3:6">
      <c r="C241" s="278"/>
      <c r="F241" s="278"/>
    </row>
    <row r="242" spans="3:6">
      <c r="C242" s="278"/>
      <c r="F242" s="278"/>
    </row>
    <row r="243" spans="3:6">
      <c r="C243" s="278"/>
      <c r="F243" s="278"/>
    </row>
    <row r="244" spans="3:6">
      <c r="C244" s="278"/>
      <c r="F244" s="278"/>
    </row>
    <row r="245" spans="3:6">
      <c r="C245" s="278"/>
      <c r="F245" s="278"/>
    </row>
    <row r="246" spans="3:6">
      <c r="C246" s="278"/>
      <c r="F246" s="278"/>
    </row>
    <row r="247" spans="3:6">
      <c r="C247" s="278"/>
      <c r="F247" s="278"/>
    </row>
    <row r="248" spans="3:6">
      <c r="C248" s="278"/>
      <c r="F248" s="278"/>
    </row>
    <row r="249" spans="3:6">
      <c r="C249" s="278"/>
      <c r="F249" s="278"/>
    </row>
    <row r="250" spans="3:6">
      <c r="C250" s="278"/>
      <c r="F250" s="278"/>
    </row>
    <row r="251" spans="3:6">
      <c r="C251" s="278"/>
      <c r="F251" s="278"/>
    </row>
    <row r="252" spans="3:6">
      <c r="C252" s="278"/>
      <c r="F252" s="278"/>
    </row>
    <row r="253" spans="3:6">
      <c r="C253" s="278"/>
      <c r="F253" s="278"/>
    </row>
    <row r="254" spans="3:6">
      <c r="C254" s="278"/>
      <c r="F254" s="278"/>
    </row>
    <row r="255" spans="3:6">
      <c r="C255" s="278"/>
      <c r="F255" s="278"/>
    </row>
    <row r="256" spans="3:6">
      <c r="C256" s="278"/>
      <c r="F256" s="278"/>
    </row>
    <row r="257" spans="3:6">
      <c r="C257" s="278"/>
      <c r="F257" s="278"/>
    </row>
    <row r="258" spans="3:6">
      <c r="C258" s="278"/>
      <c r="F258" s="278"/>
    </row>
    <row r="259" spans="3:6">
      <c r="C259" s="278"/>
      <c r="F259" s="278"/>
    </row>
    <row r="260" spans="3:6">
      <c r="C260" s="278"/>
      <c r="F260" s="278"/>
    </row>
    <row r="261" spans="3:6">
      <c r="C261" s="278"/>
      <c r="F261" s="278"/>
    </row>
    <row r="262" spans="3:6">
      <c r="C262" s="278"/>
      <c r="F262" s="278"/>
    </row>
    <row r="263" spans="3:6">
      <c r="C263" s="278"/>
      <c r="F263" s="278"/>
    </row>
    <row r="264" spans="3:6">
      <c r="C264" s="278"/>
      <c r="F264" s="278"/>
    </row>
    <row r="265" spans="3:6">
      <c r="C265" s="278"/>
      <c r="F265" s="278"/>
    </row>
    <row r="266" spans="3:6">
      <c r="C266" s="278"/>
      <c r="F266" s="278"/>
    </row>
    <row r="267" spans="3:6">
      <c r="C267" s="278"/>
      <c r="F267" s="278"/>
    </row>
    <row r="268" spans="3:6">
      <c r="C268" s="278"/>
      <c r="F268" s="278"/>
    </row>
    <row r="269" spans="3:6">
      <c r="C269" s="278"/>
      <c r="F269" s="278"/>
    </row>
    <row r="270" spans="3:6">
      <c r="C270" s="278"/>
      <c r="F270" s="278"/>
    </row>
    <row r="271" spans="3:6">
      <c r="C271" s="278"/>
      <c r="F271" s="278"/>
    </row>
    <row r="272" spans="3:6">
      <c r="C272" s="278"/>
      <c r="F272" s="278"/>
    </row>
    <row r="273" spans="3:6">
      <c r="C273" s="278"/>
      <c r="F273" s="278"/>
    </row>
    <row r="274" spans="3:6">
      <c r="C274" s="278"/>
      <c r="F274" s="278"/>
    </row>
    <row r="275" spans="3:6">
      <c r="C275" s="278"/>
      <c r="F275" s="278"/>
    </row>
    <row r="276" spans="3:6">
      <c r="C276" s="278"/>
      <c r="F276" s="278"/>
    </row>
    <row r="277" spans="3:6">
      <c r="C277" s="278"/>
      <c r="F277" s="278"/>
    </row>
    <row r="278" spans="3:6">
      <c r="C278" s="278"/>
      <c r="F278" s="278"/>
    </row>
    <row r="279" spans="3:6">
      <c r="C279" s="278"/>
      <c r="F279" s="278"/>
    </row>
    <row r="280" spans="3:6">
      <c r="C280" s="278"/>
      <c r="F280" s="278"/>
    </row>
    <row r="281" spans="3:6">
      <c r="C281" s="278"/>
      <c r="F281" s="278"/>
    </row>
    <row r="282" spans="3:6">
      <c r="C282" s="278"/>
      <c r="F282" s="278"/>
    </row>
    <row r="283" spans="3:6">
      <c r="C283" s="278"/>
      <c r="F283" s="278"/>
    </row>
    <row r="284" spans="3:6">
      <c r="C284" s="278"/>
      <c r="F284" s="278"/>
    </row>
    <row r="285" spans="3:6">
      <c r="C285" s="278"/>
      <c r="F285" s="278"/>
    </row>
    <row r="286" spans="3:6">
      <c r="C286" s="278"/>
      <c r="F286" s="278"/>
    </row>
    <row r="287" spans="3:6">
      <c r="C287" s="278"/>
      <c r="F287" s="278"/>
    </row>
    <row r="288" spans="3:6">
      <c r="C288" s="278"/>
      <c r="F288" s="278"/>
    </row>
    <row r="289" spans="3:6">
      <c r="C289" s="278"/>
      <c r="F289" s="278"/>
    </row>
    <row r="290" spans="3:6">
      <c r="C290" s="278"/>
      <c r="F290" s="278"/>
    </row>
    <row r="291" spans="3:6">
      <c r="C291" s="278"/>
      <c r="F291" s="278"/>
    </row>
    <row r="292" spans="3:6">
      <c r="C292" s="278"/>
      <c r="F292" s="278"/>
    </row>
    <row r="293" spans="3:6">
      <c r="C293" s="278"/>
      <c r="F293" s="278"/>
    </row>
    <row r="294" spans="3:6">
      <c r="C294" s="278"/>
      <c r="F294" s="278"/>
    </row>
    <row r="295" spans="3:6">
      <c r="C295" s="278"/>
      <c r="F295" s="278"/>
    </row>
    <row r="296" spans="3:6">
      <c r="C296" s="278"/>
      <c r="F296" s="278"/>
    </row>
    <row r="297" spans="3:6">
      <c r="C297" s="278"/>
      <c r="F297" s="278"/>
    </row>
    <row r="298" spans="3:6">
      <c r="C298" s="278"/>
      <c r="F298" s="278"/>
    </row>
    <row r="299" spans="3:6">
      <c r="C299" s="278"/>
      <c r="F299" s="278"/>
    </row>
    <row r="300" spans="3:6">
      <c r="C300" s="278"/>
      <c r="F300" s="278"/>
    </row>
    <row r="301" spans="3:6">
      <c r="C301" s="278"/>
      <c r="F301" s="278"/>
    </row>
    <row r="302" spans="3:6">
      <c r="C302" s="278"/>
      <c r="F302" s="278"/>
    </row>
    <row r="303" spans="3:6">
      <c r="C303" s="278"/>
      <c r="F303" s="278"/>
    </row>
    <row r="304" spans="3:6">
      <c r="C304" s="278"/>
      <c r="F304" s="278"/>
    </row>
    <row r="305" spans="3:6">
      <c r="C305" s="278"/>
      <c r="F305" s="278"/>
    </row>
    <row r="306" spans="3:6">
      <c r="C306" s="278"/>
      <c r="F306" s="278"/>
    </row>
    <row r="307" spans="3:6">
      <c r="C307" s="278"/>
      <c r="F307" s="278"/>
    </row>
    <row r="308" spans="3:6">
      <c r="C308" s="278"/>
      <c r="F308" s="278"/>
    </row>
    <row r="309" spans="3:6">
      <c r="C309" s="278"/>
      <c r="F309" s="278"/>
    </row>
    <row r="310" spans="3:6">
      <c r="C310" s="278"/>
      <c r="F310" s="278"/>
    </row>
    <row r="311" spans="3:6">
      <c r="C311" s="278"/>
      <c r="F311" s="278"/>
    </row>
    <row r="312" spans="3:6">
      <c r="C312" s="278"/>
      <c r="F312" s="278"/>
    </row>
    <row r="313" spans="3:6">
      <c r="C313" s="278"/>
      <c r="F313" s="278"/>
    </row>
    <row r="314" spans="3:6">
      <c r="C314" s="278"/>
      <c r="F314" s="278"/>
    </row>
    <row r="315" spans="3:6">
      <c r="C315" s="278"/>
      <c r="F315" s="278"/>
    </row>
    <row r="316" spans="3:6">
      <c r="C316" s="278"/>
      <c r="F316" s="278"/>
    </row>
    <row r="317" spans="3:6">
      <c r="C317" s="278"/>
      <c r="F317" s="278"/>
    </row>
    <row r="318" spans="3:6">
      <c r="C318" s="278"/>
      <c r="F318" s="278"/>
    </row>
    <row r="319" spans="3:6">
      <c r="C319" s="278"/>
      <c r="F319" s="278"/>
    </row>
    <row r="320" spans="3:6">
      <c r="C320" s="278"/>
      <c r="F320" s="278"/>
    </row>
    <row r="321" spans="3:6">
      <c r="C321" s="278"/>
      <c r="F321" s="278"/>
    </row>
    <row r="322" spans="3:6">
      <c r="C322" s="278"/>
    </row>
    <row r="323" spans="3:6">
      <c r="C323" s="278"/>
    </row>
    <row r="324" spans="3:6">
      <c r="C324" s="278"/>
    </row>
    <row r="325" spans="3:6">
      <c r="C325" s="278"/>
    </row>
    <row r="326" spans="3:6">
      <c r="C326" s="278"/>
    </row>
    <row r="327" spans="3:6">
      <c r="C327" s="278"/>
    </row>
    <row r="328" spans="3:6">
      <c r="C328" s="278"/>
    </row>
    <row r="329" spans="3:6">
      <c r="C329" s="278"/>
    </row>
    <row r="330" spans="3:6">
      <c r="C330" s="278"/>
    </row>
    <row r="331" spans="3:6">
      <c r="C331" s="278"/>
    </row>
    <row r="332" spans="3:6">
      <c r="C332" s="278"/>
    </row>
    <row r="333" spans="3:6">
      <c r="C333" s="278"/>
    </row>
    <row r="334" spans="3:6">
      <c r="C334" s="278"/>
    </row>
    <row r="335" spans="3:6">
      <c r="C335" s="278"/>
    </row>
    <row r="336" spans="3:6">
      <c r="C336" s="278"/>
    </row>
    <row r="337" spans="3:3">
      <c r="C337" s="278"/>
    </row>
    <row r="338" spans="3:3">
      <c r="C338" s="278"/>
    </row>
    <row r="339" spans="3:3">
      <c r="C339" s="278"/>
    </row>
    <row r="340" spans="3:3">
      <c r="C340" s="278"/>
    </row>
    <row r="341" spans="3:3">
      <c r="C341" s="278"/>
    </row>
    <row r="342" spans="3:3">
      <c r="C342" s="278"/>
    </row>
    <row r="343" spans="3:3">
      <c r="C343" s="278"/>
    </row>
    <row r="344" spans="3:3">
      <c r="C344" s="278"/>
    </row>
    <row r="345" spans="3:3">
      <c r="C345" s="278"/>
    </row>
    <row r="346" spans="3:3">
      <c r="C346" s="278"/>
    </row>
    <row r="347" spans="3:3">
      <c r="C347" s="278"/>
    </row>
    <row r="348" spans="3:3">
      <c r="C348" s="278"/>
    </row>
    <row r="349" spans="3:3">
      <c r="C349" s="278"/>
    </row>
    <row r="350" spans="3:3">
      <c r="C350" s="278"/>
    </row>
    <row r="351" spans="3:3">
      <c r="C351" s="278"/>
    </row>
    <row r="352" spans="3:3">
      <c r="C352" s="278"/>
    </row>
    <row r="353" spans="3:3">
      <c r="C353" s="278"/>
    </row>
    <row r="354" spans="3:3">
      <c r="C354" s="278"/>
    </row>
  </sheetData>
  <mergeCells count="9">
    <mergeCell ref="G4:G5"/>
    <mergeCell ref="A7:B7"/>
    <mergeCell ref="A9:B9"/>
    <mergeCell ref="A45:A46"/>
    <mergeCell ref="B1:F1"/>
    <mergeCell ref="A4:A5"/>
    <mergeCell ref="B4:B5"/>
    <mergeCell ref="E4:E5"/>
    <mergeCell ref="F4:F5"/>
  </mergeCells>
  <pageMargins left="0" right="0" top="0" bottom="0" header="0.31496062992125984" footer="0.31496062992125984"/>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15"/>
  <sheetViews>
    <sheetView view="pageBreakPreview" topLeftCell="A6" zoomScaleSheetLayoutView="100" workbookViewId="0">
      <selection activeCell="I7" sqref="I7"/>
    </sheetView>
  </sheetViews>
  <sheetFormatPr defaultColWidth="8.85546875" defaultRowHeight="15"/>
  <cols>
    <col min="1" max="1" width="5.140625" customWidth="1"/>
    <col min="2" max="2" width="26.42578125" customWidth="1"/>
    <col min="3" max="3" width="20.42578125" customWidth="1"/>
    <col min="4" max="4" width="15" customWidth="1"/>
    <col min="5" max="5" width="23.42578125" customWidth="1"/>
    <col min="6" max="6" width="16.140625" customWidth="1"/>
    <col min="7" max="7" width="17.42578125" customWidth="1"/>
    <col min="8" max="8" width="13.28515625" customWidth="1"/>
  </cols>
  <sheetData>
    <row r="1" spans="1:10" s="285" customFormat="1" ht="18.75">
      <c r="A1" s="281"/>
      <c r="B1" s="282"/>
      <c r="C1" s="282"/>
      <c r="D1" s="283"/>
      <c r="E1" s="283"/>
      <c r="F1" s="284"/>
      <c r="H1" s="286" t="s">
        <v>533</v>
      </c>
      <c r="I1" s="287"/>
    </row>
    <row r="2" spans="1:10" s="285" customFormat="1" ht="18.75">
      <c r="A2" s="281"/>
      <c r="B2" s="282"/>
      <c r="C2" s="282"/>
      <c r="D2" s="283"/>
      <c r="E2" s="283"/>
      <c r="F2" s="284"/>
      <c r="G2" s="282"/>
      <c r="H2" s="282"/>
      <c r="I2" s="282"/>
    </row>
    <row r="3" spans="1:10" s="285" customFormat="1" ht="15.75" customHeight="1">
      <c r="A3" s="1078" t="s">
        <v>534</v>
      </c>
      <c r="B3" s="1078"/>
      <c r="C3" s="1078"/>
      <c r="D3" s="1078"/>
      <c r="E3" s="1078"/>
      <c r="F3" s="1078"/>
      <c r="G3" s="1078"/>
      <c r="H3" s="1078"/>
      <c r="I3" s="288"/>
      <c r="J3" s="289"/>
    </row>
    <row r="4" spans="1:10" s="285" customFormat="1" ht="15.75">
      <c r="A4" s="290"/>
      <c r="B4" s="291"/>
      <c r="C4" s="291"/>
      <c r="D4" s="291"/>
      <c r="E4" s="291"/>
      <c r="F4" s="292"/>
      <c r="G4" s="291"/>
      <c r="H4" s="291"/>
      <c r="I4" s="291"/>
    </row>
    <row r="5" spans="1:10" s="285" customFormat="1" ht="67.5" customHeight="1">
      <c r="A5" s="293" t="s">
        <v>441</v>
      </c>
      <c r="B5" s="294" t="s">
        <v>535</v>
      </c>
      <c r="C5" s="294" t="s">
        <v>536</v>
      </c>
      <c r="D5" s="294" t="s">
        <v>537</v>
      </c>
      <c r="E5" s="294" t="s">
        <v>538</v>
      </c>
      <c r="F5" s="294" t="s">
        <v>539</v>
      </c>
      <c r="G5" s="294" t="s">
        <v>540</v>
      </c>
      <c r="H5" s="294" t="s">
        <v>541</v>
      </c>
      <c r="I5" s="291"/>
    </row>
    <row r="6" spans="1:10" s="285" customFormat="1" ht="15.75">
      <c r="A6" s="295"/>
      <c r="B6" s="294"/>
      <c r="C6" s="294"/>
      <c r="D6" s="294">
        <v>0.3</v>
      </c>
      <c r="E6" s="294">
        <v>0.35</v>
      </c>
      <c r="F6" s="294">
        <v>0.35</v>
      </c>
      <c r="G6" s="294"/>
      <c r="H6" s="294"/>
      <c r="I6" s="291"/>
    </row>
    <row r="7" spans="1:10" s="285" customFormat="1" ht="88.5" customHeight="1">
      <c r="A7" s="296">
        <v>1</v>
      </c>
      <c r="B7" s="297" t="s">
        <v>542</v>
      </c>
      <c r="C7" s="297" t="s">
        <v>149</v>
      </c>
      <c r="D7" s="298">
        <v>96.1</v>
      </c>
      <c r="E7" s="298">
        <v>108.5</v>
      </c>
      <c r="F7" s="298">
        <v>86.4</v>
      </c>
      <c r="G7" s="299">
        <v>96</v>
      </c>
      <c r="H7" s="298" t="s">
        <v>543</v>
      </c>
      <c r="I7" s="300">
        <f>D7*0.3+(E7-3)*0.35+F7*0.35</f>
        <v>95.99499999999999</v>
      </c>
    </row>
    <row r="8" spans="1:10" s="285" customFormat="1" ht="78" customHeight="1">
      <c r="A8" s="295" t="s">
        <v>544</v>
      </c>
      <c r="B8" s="301" t="s">
        <v>545</v>
      </c>
      <c r="C8" s="297" t="s">
        <v>149</v>
      </c>
      <c r="D8" s="294">
        <v>98.7</v>
      </c>
      <c r="E8" s="294">
        <v>111.1</v>
      </c>
      <c r="F8" s="294">
        <v>78.599999999999994</v>
      </c>
      <c r="G8" s="299">
        <v>95</v>
      </c>
      <c r="H8" s="298" t="s">
        <v>543</v>
      </c>
      <c r="I8" s="300">
        <f>D8*0.3+(E8-3)*0.35+F8*0.35</f>
        <v>94.954999999999984</v>
      </c>
    </row>
    <row r="9" spans="1:10" s="285" customFormat="1" ht="76.5" customHeight="1">
      <c r="A9" s="295" t="s">
        <v>546</v>
      </c>
      <c r="B9" s="301" t="s">
        <v>547</v>
      </c>
      <c r="C9" s="297" t="s">
        <v>149</v>
      </c>
      <c r="D9" s="294">
        <v>94.3</v>
      </c>
      <c r="E9" s="294">
        <v>106.1</v>
      </c>
      <c r="F9" s="294">
        <v>87.5</v>
      </c>
      <c r="G9" s="299">
        <v>95</v>
      </c>
      <c r="H9" s="298" t="s">
        <v>543</v>
      </c>
      <c r="I9" s="300">
        <f>D9*0.3+(E9-3)*0.35+F9*0.35</f>
        <v>95</v>
      </c>
    </row>
    <row r="10" spans="1:10" s="285" customFormat="1" ht="75.75" customHeight="1">
      <c r="A10" s="295" t="s">
        <v>531</v>
      </c>
      <c r="B10" s="301" t="s">
        <v>548</v>
      </c>
      <c r="C10" s="297" t="s">
        <v>149</v>
      </c>
      <c r="D10" s="294">
        <v>95.4</v>
      </c>
      <c r="E10" s="294">
        <v>118</v>
      </c>
      <c r="F10" s="294">
        <v>88.5</v>
      </c>
      <c r="G10" s="294">
        <v>99.8</v>
      </c>
      <c r="H10" s="298" t="s">
        <v>543</v>
      </c>
      <c r="I10" s="300">
        <f>D10*0.3+(E10-3)*0.35+F10*0.35</f>
        <v>99.844999999999999</v>
      </c>
    </row>
    <row r="11" spans="1:10" s="285" customFormat="1" ht="79.5" customHeight="1">
      <c r="A11" s="295" t="s">
        <v>532</v>
      </c>
      <c r="B11" s="301" t="s">
        <v>549</v>
      </c>
      <c r="C11" s="297" t="s">
        <v>149</v>
      </c>
      <c r="D11" s="302"/>
      <c r="E11" s="302"/>
      <c r="F11" s="294">
        <v>100</v>
      </c>
      <c r="G11" s="303"/>
      <c r="H11" s="303"/>
      <c r="I11" s="291"/>
    </row>
    <row r="12" spans="1:10" s="285" customFormat="1" ht="23.25" customHeight="1">
      <c r="A12" s="304" t="s">
        <v>550</v>
      </c>
      <c r="B12" s="303" t="s">
        <v>550</v>
      </c>
      <c r="C12" s="303"/>
      <c r="D12" s="303"/>
      <c r="E12" s="303"/>
      <c r="F12" s="303"/>
      <c r="G12" s="303"/>
      <c r="H12" s="303"/>
      <c r="I12" s="291"/>
    </row>
    <row r="13" spans="1:10" s="285" customFormat="1" ht="15.75">
      <c r="A13" s="305"/>
      <c r="B13" s="291"/>
      <c r="C13" s="291"/>
      <c r="D13" s="291"/>
      <c r="E13" s="291"/>
      <c r="F13" s="292"/>
      <c r="G13" s="291"/>
      <c r="H13" s="291"/>
      <c r="I13" s="291"/>
    </row>
    <row r="14" spans="1:10" s="285" customFormat="1" ht="63" customHeight="1">
      <c r="A14" s="1079" t="s">
        <v>551</v>
      </c>
      <c r="B14" s="1079"/>
      <c r="C14" s="1079"/>
      <c r="D14" s="1079"/>
      <c r="E14" s="1079"/>
      <c r="F14" s="1079"/>
      <c r="G14" s="1079"/>
      <c r="H14" s="1079"/>
      <c r="I14" s="291"/>
    </row>
    <row r="15" spans="1:10" s="285" customFormat="1" ht="15.75">
      <c r="A15" s="306"/>
      <c r="F15" s="307"/>
    </row>
  </sheetData>
  <mergeCells count="2">
    <mergeCell ref="A3:H3"/>
    <mergeCell ref="A14:H14"/>
  </mergeCells>
  <pageMargins left="0.70866141732283472" right="0.70866141732283472" top="0.74803149606299213" bottom="0.74803149606299213" header="0.31496062992125984" footer="0.31496062992125984"/>
  <pageSetup paperSize="9" scale="95" fitToHeight="0" orientation="landscape" r:id="rId1"/>
  <headerFooter>
    <oddHeader>&amp;C&amp;"Times New Roman,обычный" 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8" sqref="G8"/>
    </sheetView>
  </sheetViews>
  <sheetFormatPr defaultColWidth="8.85546875" defaultRowHeight="15"/>
  <cols>
    <col min="2" max="2" width="21.42578125" customWidth="1"/>
    <col min="3" max="3" width="34.42578125" customWidth="1"/>
    <col min="4" max="4" width="15.42578125" customWidth="1"/>
    <col min="5" max="5" width="12.42578125" customWidth="1"/>
    <col min="6" max="6" width="19.42578125" customWidth="1"/>
    <col min="7" max="7" width="28.7109375" customWidth="1"/>
    <col min="258" max="258" width="21.42578125" customWidth="1"/>
    <col min="259" max="259" width="34.42578125" customWidth="1"/>
    <col min="260" max="260" width="15.42578125" customWidth="1"/>
    <col min="261" max="261" width="12.42578125" customWidth="1"/>
    <col min="262" max="262" width="19.42578125" customWidth="1"/>
    <col min="263" max="263" width="28.7109375" customWidth="1"/>
    <col min="514" max="514" width="21.42578125" customWidth="1"/>
    <col min="515" max="515" width="34.42578125" customWidth="1"/>
    <col min="516" max="516" width="15.42578125" customWidth="1"/>
    <col min="517" max="517" width="12.42578125" customWidth="1"/>
    <col min="518" max="518" width="19.42578125" customWidth="1"/>
    <col min="519" max="519" width="28.7109375" customWidth="1"/>
    <col min="770" max="770" width="21.42578125" customWidth="1"/>
    <col min="771" max="771" width="34.42578125" customWidth="1"/>
    <col min="772" max="772" width="15.42578125" customWidth="1"/>
    <col min="773" max="773" width="12.42578125" customWidth="1"/>
    <col min="774" max="774" width="19.42578125" customWidth="1"/>
    <col min="775" max="775" width="28.7109375" customWidth="1"/>
    <col min="1026" max="1026" width="21.42578125" customWidth="1"/>
    <col min="1027" max="1027" width="34.42578125" customWidth="1"/>
    <col min="1028" max="1028" width="15.42578125" customWidth="1"/>
    <col min="1029" max="1029" width="12.42578125" customWidth="1"/>
    <col min="1030" max="1030" width="19.42578125" customWidth="1"/>
    <col min="1031" max="1031" width="28.7109375" customWidth="1"/>
    <col min="1282" max="1282" width="21.42578125" customWidth="1"/>
    <col min="1283" max="1283" width="34.42578125" customWidth="1"/>
    <col min="1284" max="1284" width="15.42578125" customWidth="1"/>
    <col min="1285" max="1285" width="12.42578125" customWidth="1"/>
    <col min="1286" max="1286" width="19.42578125" customWidth="1"/>
    <col min="1287" max="1287" width="28.7109375" customWidth="1"/>
    <col min="1538" max="1538" width="21.42578125" customWidth="1"/>
    <col min="1539" max="1539" width="34.42578125" customWidth="1"/>
    <col min="1540" max="1540" width="15.42578125" customWidth="1"/>
    <col min="1541" max="1541" width="12.42578125" customWidth="1"/>
    <col min="1542" max="1542" width="19.42578125" customWidth="1"/>
    <col min="1543" max="1543" width="28.7109375" customWidth="1"/>
    <col min="1794" max="1794" width="21.42578125" customWidth="1"/>
    <col min="1795" max="1795" width="34.42578125" customWidth="1"/>
    <col min="1796" max="1796" width="15.42578125" customWidth="1"/>
    <col min="1797" max="1797" width="12.42578125" customWidth="1"/>
    <col min="1798" max="1798" width="19.42578125" customWidth="1"/>
    <col min="1799" max="1799" width="28.7109375" customWidth="1"/>
    <col min="2050" max="2050" width="21.42578125" customWidth="1"/>
    <col min="2051" max="2051" width="34.42578125" customWidth="1"/>
    <col min="2052" max="2052" width="15.42578125" customWidth="1"/>
    <col min="2053" max="2053" width="12.42578125" customWidth="1"/>
    <col min="2054" max="2054" width="19.42578125" customWidth="1"/>
    <col min="2055" max="2055" width="28.7109375" customWidth="1"/>
    <col min="2306" max="2306" width="21.42578125" customWidth="1"/>
    <col min="2307" max="2307" width="34.42578125" customWidth="1"/>
    <col min="2308" max="2308" width="15.42578125" customWidth="1"/>
    <col min="2309" max="2309" width="12.42578125" customWidth="1"/>
    <col min="2310" max="2310" width="19.42578125" customWidth="1"/>
    <col min="2311" max="2311" width="28.7109375" customWidth="1"/>
    <col min="2562" max="2562" width="21.42578125" customWidth="1"/>
    <col min="2563" max="2563" width="34.42578125" customWidth="1"/>
    <col min="2564" max="2564" width="15.42578125" customWidth="1"/>
    <col min="2565" max="2565" width="12.42578125" customWidth="1"/>
    <col min="2566" max="2566" width="19.42578125" customWidth="1"/>
    <col min="2567" max="2567" width="28.7109375" customWidth="1"/>
    <col min="2818" max="2818" width="21.42578125" customWidth="1"/>
    <col min="2819" max="2819" width="34.42578125" customWidth="1"/>
    <col min="2820" max="2820" width="15.42578125" customWidth="1"/>
    <col min="2821" max="2821" width="12.42578125" customWidth="1"/>
    <col min="2822" max="2822" width="19.42578125" customWidth="1"/>
    <col min="2823" max="2823" width="28.7109375" customWidth="1"/>
    <col min="3074" max="3074" width="21.42578125" customWidth="1"/>
    <col min="3075" max="3075" width="34.42578125" customWidth="1"/>
    <col min="3076" max="3076" width="15.42578125" customWidth="1"/>
    <col min="3077" max="3077" width="12.42578125" customWidth="1"/>
    <col min="3078" max="3078" width="19.42578125" customWidth="1"/>
    <col min="3079" max="3079" width="28.7109375" customWidth="1"/>
    <col min="3330" max="3330" width="21.42578125" customWidth="1"/>
    <col min="3331" max="3331" width="34.42578125" customWidth="1"/>
    <col min="3332" max="3332" width="15.42578125" customWidth="1"/>
    <col min="3333" max="3333" width="12.42578125" customWidth="1"/>
    <col min="3334" max="3334" width="19.42578125" customWidth="1"/>
    <col min="3335" max="3335" width="28.7109375" customWidth="1"/>
    <col min="3586" max="3586" width="21.42578125" customWidth="1"/>
    <col min="3587" max="3587" width="34.42578125" customWidth="1"/>
    <col min="3588" max="3588" width="15.42578125" customWidth="1"/>
    <col min="3589" max="3589" width="12.42578125" customWidth="1"/>
    <col min="3590" max="3590" width="19.42578125" customWidth="1"/>
    <col min="3591" max="3591" width="28.7109375" customWidth="1"/>
    <col min="3842" max="3842" width="21.42578125" customWidth="1"/>
    <col min="3843" max="3843" width="34.42578125" customWidth="1"/>
    <col min="3844" max="3844" width="15.42578125" customWidth="1"/>
    <col min="3845" max="3845" width="12.42578125" customWidth="1"/>
    <col min="3846" max="3846" width="19.42578125" customWidth="1"/>
    <col min="3847" max="3847" width="28.7109375" customWidth="1"/>
    <col min="4098" max="4098" width="21.42578125" customWidth="1"/>
    <col min="4099" max="4099" width="34.42578125" customWidth="1"/>
    <col min="4100" max="4100" width="15.42578125" customWidth="1"/>
    <col min="4101" max="4101" width="12.42578125" customWidth="1"/>
    <col min="4102" max="4102" width="19.42578125" customWidth="1"/>
    <col min="4103" max="4103" width="28.7109375" customWidth="1"/>
    <col min="4354" max="4354" width="21.42578125" customWidth="1"/>
    <col min="4355" max="4355" width="34.42578125" customWidth="1"/>
    <col min="4356" max="4356" width="15.42578125" customWidth="1"/>
    <col min="4357" max="4357" width="12.42578125" customWidth="1"/>
    <col min="4358" max="4358" width="19.42578125" customWidth="1"/>
    <col min="4359" max="4359" width="28.7109375" customWidth="1"/>
    <col min="4610" max="4610" width="21.42578125" customWidth="1"/>
    <col min="4611" max="4611" width="34.42578125" customWidth="1"/>
    <col min="4612" max="4612" width="15.42578125" customWidth="1"/>
    <col min="4613" max="4613" width="12.42578125" customWidth="1"/>
    <col min="4614" max="4614" width="19.42578125" customWidth="1"/>
    <col min="4615" max="4615" width="28.7109375" customWidth="1"/>
    <col min="4866" max="4866" width="21.42578125" customWidth="1"/>
    <col min="4867" max="4867" width="34.42578125" customWidth="1"/>
    <col min="4868" max="4868" width="15.42578125" customWidth="1"/>
    <col min="4869" max="4869" width="12.42578125" customWidth="1"/>
    <col min="4870" max="4870" width="19.42578125" customWidth="1"/>
    <col min="4871" max="4871" width="28.7109375" customWidth="1"/>
    <col min="5122" max="5122" width="21.42578125" customWidth="1"/>
    <col min="5123" max="5123" width="34.42578125" customWidth="1"/>
    <col min="5124" max="5124" width="15.42578125" customWidth="1"/>
    <col min="5125" max="5125" width="12.42578125" customWidth="1"/>
    <col min="5126" max="5126" width="19.42578125" customWidth="1"/>
    <col min="5127" max="5127" width="28.7109375" customWidth="1"/>
    <col min="5378" max="5378" width="21.42578125" customWidth="1"/>
    <col min="5379" max="5379" width="34.42578125" customWidth="1"/>
    <col min="5380" max="5380" width="15.42578125" customWidth="1"/>
    <col min="5381" max="5381" width="12.42578125" customWidth="1"/>
    <col min="5382" max="5382" width="19.42578125" customWidth="1"/>
    <col min="5383" max="5383" width="28.7109375" customWidth="1"/>
    <col min="5634" max="5634" width="21.42578125" customWidth="1"/>
    <col min="5635" max="5635" width="34.42578125" customWidth="1"/>
    <col min="5636" max="5636" width="15.42578125" customWidth="1"/>
    <col min="5637" max="5637" width="12.42578125" customWidth="1"/>
    <col min="5638" max="5638" width="19.42578125" customWidth="1"/>
    <col min="5639" max="5639" width="28.7109375" customWidth="1"/>
    <col min="5890" max="5890" width="21.42578125" customWidth="1"/>
    <col min="5891" max="5891" width="34.42578125" customWidth="1"/>
    <col min="5892" max="5892" width="15.42578125" customWidth="1"/>
    <col min="5893" max="5893" width="12.42578125" customWidth="1"/>
    <col min="5894" max="5894" width="19.42578125" customWidth="1"/>
    <col min="5895" max="5895" width="28.7109375" customWidth="1"/>
    <col min="6146" max="6146" width="21.42578125" customWidth="1"/>
    <col min="6147" max="6147" width="34.42578125" customWidth="1"/>
    <col min="6148" max="6148" width="15.42578125" customWidth="1"/>
    <col min="6149" max="6149" width="12.42578125" customWidth="1"/>
    <col min="6150" max="6150" width="19.42578125" customWidth="1"/>
    <col min="6151" max="6151" width="28.7109375" customWidth="1"/>
    <col min="6402" max="6402" width="21.42578125" customWidth="1"/>
    <col min="6403" max="6403" width="34.42578125" customWidth="1"/>
    <col min="6404" max="6404" width="15.42578125" customWidth="1"/>
    <col min="6405" max="6405" width="12.42578125" customWidth="1"/>
    <col min="6406" max="6406" width="19.42578125" customWidth="1"/>
    <col min="6407" max="6407" width="28.7109375" customWidth="1"/>
    <col min="6658" max="6658" width="21.42578125" customWidth="1"/>
    <col min="6659" max="6659" width="34.42578125" customWidth="1"/>
    <col min="6660" max="6660" width="15.42578125" customWidth="1"/>
    <col min="6661" max="6661" width="12.42578125" customWidth="1"/>
    <col min="6662" max="6662" width="19.42578125" customWidth="1"/>
    <col min="6663" max="6663" width="28.7109375" customWidth="1"/>
    <col min="6914" max="6914" width="21.42578125" customWidth="1"/>
    <col min="6915" max="6915" width="34.42578125" customWidth="1"/>
    <col min="6916" max="6916" width="15.42578125" customWidth="1"/>
    <col min="6917" max="6917" width="12.42578125" customWidth="1"/>
    <col min="6918" max="6918" width="19.42578125" customWidth="1"/>
    <col min="6919" max="6919" width="28.7109375" customWidth="1"/>
    <col min="7170" max="7170" width="21.42578125" customWidth="1"/>
    <col min="7171" max="7171" width="34.42578125" customWidth="1"/>
    <col min="7172" max="7172" width="15.42578125" customWidth="1"/>
    <col min="7173" max="7173" width="12.42578125" customWidth="1"/>
    <col min="7174" max="7174" width="19.42578125" customWidth="1"/>
    <col min="7175" max="7175" width="28.7109375" customWidth="1"/>
    <col min="7426" max="7426" width="21.42578125" customWidth="1"/>
    <col min="7427" max="7427" width="34.42578125" customWidth="1"/>
    <col min="7428" max="7428" width="15.42578125" customWidth="1"/>
    <col min="7429" max="7429" width="12.42578125" customWidth="1"/>
    <col min="7430" max="7430" width="19.42578125" customWidth="1"/>
    <col min="7431" max="7431" width="28.7109375" customWidth="1"/>
    <col min="7682" max="7682" width="21.42578125" customWidth="1"/>
    <col min="7683" max="7683" width="34.42578125" customWidth="1"/>
    <col min="7684" max="7684" width="15.42578125" customWidth="1"/>
    <col min="7685" max="7685" width="12.42578125" customWidth="1"/>
    <col min="7686" max="7686" width="19.42578125" customWidth="1"/>
    <col min="7687" max="7687" width="28.7109375" customWidth="1"/>
    <col min="7938" max="7938" width="21.42578125" customWidth="1"/>
    <col min="7939" max="7939" width="34.42578125" customWidth="1"/>
    <col min="7940" max="7940" width="15.42578125" customWidth="1"/>
    <col min="7941" max="7941" width="12.42578125" customWidth="1"/>
    <col min="7942" max="7942" width="19.42578125" customWidth="1"/>
    <col min="7943" max="7943" width="28.7109375" customWidth="1"/>
    <col min="8194" max="8194" width="21.42578125" customWidth="1"/>
    <col min="8195" max="8195" width="34.42578125" customWidth="1"/>
    <col min="8196" max="8196" width="15.42578125" customWidth="1"/>
    <col min="8197" max="8197" width="12.42578125" customWidth="1"/>
    <col min="8198" max="8198" width="19.42578125" customWidth="1"/>
    <col min="8199" max="8199" width="28.7109375" customWidth="1"/>
    <col min="8450" max="8450" width="21.42578125" customWidth="1"/>
    <col min="8451" max="8451" width="34.42578125" customWidth="1"/>
    <col min="8452" max="8452" width="15.42578125" customWidth="1"/>
    <col min="8453" max="8453" width="12.42578125" customWidth="1"/>
    <col min="8454" max="8454" width="19.42578125" customWidth="1"/>
    <col min="8455" max="8455" width="28.7109375" customWidth="1"/>
    <col min="8706" max="8706" width="21.42578125" customWidth="1"/>
    <col min="8707" max="8707" width="34.42578125" customWidth="1"/>
    <col min="8708" max="8708" width="15.42578125" customWidth="1"/>
    <col min="8709" max="8709" width="12.42578125" customWidth="1"/>
    <col min="8710" max="8710" width="19.42578125" customWidth="1"/>
    <col min="8711" max="8711" width="28.7109375" customWidth="1"/>
    <col min="8962" max="8962" width="21.42578125" customWidth="1"/>
    <col min="8963" max="8963" width="34.42578125" customWidth="1"/>
    <col min="8964" max="8964" width="15.42578125" customWidth="1"/>
    <col min="8965" max="8965" width="12.42578125" customWidth="1"/>
    <col min="8966" max="8966" width="19.42578125" customWidth="1"/>
    <col min="8967" max="8967" width="28.7109375" customWidth="1"/>
    <col min="9218" max="9218" width="21.42578125" customWidth="1"/>
    <col min="9219" max="9219" width="34.42578125" customWidth="1"/>
    <col min="9220" max="9220" width="15.42578125" customWidth="1"/>
    <col min="9221" max="9221" width="12.42578125" customWidth="1"/>
    <col min="9222" max="9222" width="19.42578125" customWidth="1"/>
    <col min="9223" max="9223" width="28.7109375" customWidth="1"/>
    <col min="9474" max="9474" width="21.42578125" customWidth="1"/>
    <col min="9475" max="9475" width="34.42578125" customWidth="1"/>
    <col min="9476" max="9476" width="15.42578125" customWidth="1"/>
    <col min="9477" max="9477" width="12.42578125" customWidth="1"/>
    <col min="9478" max="9478" width="19.42578125" customWidth="1"/>
    <col min="9479" max="9479" width="28.7109375" customWidth="1"/>
    <col min="9730" max="9730" width="21.42578125" customWidth="1"/>
    <col min="9731" max="9731" width="34.42578125" customWidth="1"/>
    <col min="9732" max="9732" width="15.42578125" customWidth="1"/>
    <col min="9733" max="9733" width="12.42578125" customWidth="1"/>
    <col min="9734" max="9734" width="19.42578125" customWidth="1"/>
    <col min="9735" max="9735" width="28.7109375" customWidth="1"/>
    <col min="9986" max="9986" width="21.42578125" customWidth="1"/>
    <col min="9987" max="9987" width="34.42578125" customWidth="1"/>
    <col min="9988" max="9988" width="15.42578125" customWidth="1"/>
    <col min="9989" max="9989" width="12.42578125" customWidth="1"/>
    <col min="9990" max="9990" width="19.42578125" customWidth="1"/>
    <col min="9991" max="9991" width="28.7109375" customWidth="1"/>
    <col min="10242" max="10242" width="21.42578125" customWidth="1"/>
    <col min="10243" max="10243" width="34.42578125" customWidth="1"/>
    <col min="10244" max="10244" width="15.42578125" customWidth="1"/>
    <col min="10245" max="10245" width="12.42578125" customWidth="1"/>
    <col min="10246" max="10246" width="19.42578125" customWidth="1"/>
    <col min="10247" max="10247" width="28.7109375" customWidth="1"/>
    <col min="10498" max="10498" width="21.42578125" customWidth="1"/>
    <col min="10499" max="10499" width="34.42578125" customWidth="1"/>
    <col min="10500" max="10500" width="15.42578125" customWidth="1"/>
    <col min="10501" max="10501" width="12.42578125" customWidth="1"/>
    <col min="10502" max="10502" width="19.42578125" customWidth="1"/>
    <col min="10503" max="10503" width="28.7109375" customWidth="1"/>
    <col min="10754" max="10754" width="21.42578125" customWidth="1"/>
    <col min="10755" max="10755" width="34.42578125" customWidth="1"/>
    <col min="10756" max="10756" width="15.42578125" customWidth="1"/>
    <col min="10757" max="10757" width="12.42578125" customWidth="1"/>
    <col min="10758" max="10758" width="19.42578125" customWidth="1"/>
    <col min="10759" max="10759" width="28.7109375" customWidth="1"/>
    <col min="11010" max="11010" width="21.42578125" customWidth="1"/>
    <col min="11011" max="11011" width="34.42578125" customWidth="1"/>
    <col min="11012" max="11012" width="15.42578125" customWidth="1"/>
    <col min="11013" max="11013" width="12.42578125" customWidth="1"/>
    <col min="11014" max="11014" width="19.42578125" customWidth="1"/>
    <col min="11015" max="11015" width="28.7109375" customWidth="1"/>
    <col min="11266" max="11266" width="21.42578125" customWidth="1"/>
    <col min="11267" max="11267" width="34.42578125" customWidth="1"/>
    <col min="11268" max="11268" width="15.42578125" customWidth="1"/>
    <col min="11269" max="11269" width="12.42578125" customWidth="1"/>
    <col min="11270" max="11270" width="19.42578125" customWidth="1"/>
    <col min="11271" max="11271" width="28.7109375" customWidth="1"/>
    <col min="11522" max="11522" width="21.42578125" customWidth="1"/>
    <col min="11523" max="11523" width="34.42578125" customWidth="1"/>
    <col min="11524" max="11524" width="15.42578125" customWidth="1"/>
    <col min="11525" max="11525" width="12.42578125" customWidth="1"/>
    <col min="11526" max="11526" width="19.42578125" customWidth="1"/>
    <col min="11527" max="11527" width="28.7109375" customWidth="1"/>
    <col min="11778" max="11778" width="21.42578125" customWidth="1"/>
    <col min="11779" max="11779" width="34.42578125" customWidth="1"/>
    <col min="11780" max="11780" width="15.42578125" customWidth="1"/>
    <col min="11781" max="11781" width="12.42578125" customWidth="1"/>
    <col min="11782" max="11782" width="19.42578125" customWidth="1"/>
    <col min="11783" max="11783" width="28.7109375" customWidth="1"/>
    <col min="12034" max="12034" width="21.42578125" customWidth="1"/>
    <col min="12035" max="12035" width="34.42578125" customWidth="1"/>
    <col min="12036" max="12036" width="15.42578125" customWidth="1"/>
    <col min="12037" max="12037" width="12.42578125" customWidth="1"/>
    <col min="12038" max="12038" width="19.42578125" customWidth="1"/>
    <col min="12039" max="12039" width="28.7109375" customWidth="1"/>
    <col min="12290" max="12290" width="21.42578125" customWidth="1"/>
    <col min="12291" max="12291" width="34.42578125" customWidth="1"/>
    <col min="12292" max="12292" width="15.42578125" customWidth="1"/>
    <col min="12293" max="12293" width="12.42578125" customWidth="1"/>
    <col min="12294" max="12294" width="19.42578125" customWidth="1"/>
    <col min="12295" max="12295" width="28.7109375" customWidth="1"/>
    <col min="12546" max="12546" width="21.42578125" customWidth="1"/>
    <col min="12547" max="12547" width="34.42578125" customWidth="1"/>
    <col min="12548" max="12548" width="15.42578125" customWidth="1"/>
    <col min="12549" max="12549" width="12.42578125" customWidth="1"/>
    <col min="12550" max="12550" width="19.42578125" customWidth="1"/>
    <col min="12551" max="12551" width="28.7109375" customWidth="1"/>
    <col min="12802" max="12802" width="21.42578125" customWidth="1"/>
    <col min="12803" max="12803" width="34.42578125" customWidth="1"/>
    <col min="12804" max="12804" width="15.42578125" customWidth="1"/>
    <col min="12805" max="12805" width="12.42578125" customWidth="1"/>
    <col min="12806" max="12806" width="19.42578125" customWidth="1"/>
    <col min="12807" max="12807" width="28.7109375" customWidth="1"/>
    <col min="13058" max="13058" width="21.42578125" customWidth="1"/>
    <col min="13059" max="13059" width="34.42578125" customWidth="1"/>
    <col min="13060" max="13060" width="15.42578125" customWidth="1"/>
    <col min="13061" max="13061" width="12.42578125" customWidth="1"/>
    <col min="13062" max="13062" width="19.42578125" customWidth="1"/>
    <col min="13063" max="13063" width="28.7109375" customWidth="1"/>
    <col min="13314" max="13314" width="21.42578125" customWidth="1"/>
    <col min="13315" max="13315" width="34.42578125" customWidth="1"/>
    <col min="13316" max="13316" width="15.42578125" customWidth="1"/>
    <col min="13317" max="13317" width="12.42578125" customWidth="1"/>
    <col min="13318" max="13318" width="19.42578125" customWidth="1"/>
    <col min="13319" max="13319" width="28.7109375" customWidth="1"/>
    <col min="13570" max="13570" width="21.42578125" customWidth="1"/>
    <col min="13571" max="13571" width="34.42578125" customWidth="1"/>
    <col min="13572" max="13572" width="15.42578125" customWidth="1"/>
    <col min="13573" max="13573" width="12.42578125" customWidth="1"/>
    <col min="13574" max="13574" width="19.42578125" customWidth="1"/>
    <col min="13575" max="13575" width="28.7109375" customWidth="1"/>
    <col min="13826" max="13826" width="21.42578125" customWidth="1"/>
    <col min="13827" max="13827" width="34.42578125" customWidth="1"/>
    <col min="13828" max="13828" width="15.42578125" customWidth="1"/>
    <col min="13829" max="13829" width="12.42578125" customWidth="1"/>
    <col min="13830" max="13830" width="19.42578125" customWidth="1"/>
    <col min="13831" max="13831" width="28.7109375" customWidth="1"/>
    <col min="14082" max="14082" width="21.42578125" customWidth="1"/>
    <col min="14083" max="14083" width="34.42578125" customWidth="1"/>
    <col min="14084" max="14084" width="15.42578125" customWidth="1"/>
    <col min="14085" max="14085" width="12.42578125" customWidth="1"/>
    <col min="14086" max="14086" width="19.42578125" customWidth="1"/>
    <col min="14087" max="14087" width="28.7109375" customWidth="1"/>
    <col min="14338" max="14338" width="21.42578125" customWidth="1"/>
    <col min="14339" max="14339" width="34.42578125" customWidth="1"/>
    <col min="14340" max="14340" width="15.42578125" customWidth="1"/>
    <col min="14341" max="14341" width="12.42578125" customWidth="1"/>
    <col min="14342" max="14342" width="19.42578125" customWidth="1"/>
    <col min="14343" max="14343" width="28.7109375" customWidth="1"/>
    <col min="14594" max="14594" width="21.42578125" customWidth="1"/>
    <col min="14595" max="14595" width="34.42578125" customWidth="1"/>
    <col min="14596" max="14596" width="15.42578125" customWidth="1"/>
    <col min="14597" max="14597" width="12.42578125" customWidth="1"/>
    <col min="14598" max="14598" width="19.42578125" customWidth="1"/>
    <col min="14599" max="14599" width="28.7109375" customWidth="1"/>
    <col min="14850" max="14850" width="21.42578125" customWidth="1"/>
    <col min="14851" max="14851" width="34.42578125" customWidth="1"/>
    <col min="14852" max="14852" width="15.42578125" customWidth="1"/>
    <col min="14853" max="14853" width="12.42578125" customWidth="1"/>
    <col min="14854" max="14854" width="19.42578125" customWidth="1"/>
    <col min="14855" max="14855" width="28.7109375" customWidth="1"/>
    <col min="15106" max="15106" width="21.42578125" customWidth="1"/>
    <col min="15107" max="15107" width="34.42578125" customWidth="1"/>
    <col min="15108" max="15108" width="15.42578125" customWidth="1"/>
    <col min="15109" max="15109" width="12.42578125" customWidth="1"/>
    <col min="15110" max="15110" width="19.42578125" customWidth="1"/>
    <col min="15111" max="15111" width="28.7109375" customWidth="1"/>
    <col min="15362" max="15362" width="21.42578125" customWidth="1"/>
    <col min="15363" max="15363" width="34.42578125" customWidth="1"/>
    <col min="15364" max="15364" width="15.42578125" customWidth="1"/>
    <col min="15365" max="15365" width="12.42578125" customWidth="1"/>
    <col min="15366" max="15366" width="19.42578125" customWidth="1"/>
    <col min="15367" max="15367" width="28.7109375" customWidth="1"/>
    <col min="15618" max="15618" width="21.42578125" customWidth="1"/>
    <col min="15619" max="15619" width="34.42578125" customWidth="1"/>
    <col min="15620" max="15620" width="15.42578125" customWidth="1"/>
    <col min="15621" max="15621" width="12.42578125" customWidth="1"/>
    <col min="15622" max="15622" width="19.42578125" customWidth="1"/>
    <col min="15623" max="15623" width="28.7109375" customWidth="1"/>
    <col min="15874" max="15874" width="21.42578125" customWidth="1"/>
    <col min="15875" max="15875" width="34.42578125" customWidth="1"/>
    <col min="15876" max="15876" width="15.42578125" customWidth="1"/>
    <col min="15877" max="15877" width="12.42578125" customWidth="1"/>
    <col min="15878" max="15878" width="19.42578125" customWidth="1"/>
    <col min="15879" max="15879" width="28.7109375" customWidth="1"/>
    <col min="16130" max="16130" width="21.42578125" customWidth="1"/>
    <col min="16131" max="16131" width="34.42578125" customWidth="1"/>
    <col min="16132" max="16132" width="15.42578125" customWidth="1"/>
    <col min="16133" max="16133" width="12.42578125" customWidth="1"/>
    <col min="16134" max="16134" width="19.42578125" customWidth="1"/>
    <col min="16135" max="16135" width="28.7109375" customWidth="1"/>
  </cols>
  <sheetData>
    <row r="1" spans="1:7" ht="15.75">
      <c r="E1" s="308"/>
      <c r="F1" s="308"/>
      <c r="G1" s="309" t="s">
        <v>552</v>
      </c>
    </row>
    <row r="3" spans="1:7">
      <c r="A3" s="1080" t="s">
        <v>553</v>
      </c>
      <c r="B3" s="1080"/>
      <c r="C3" s="1080"/>
      <c r="D3" s="1080"/>
      <c r="E3" s="1080"/>
      <c r="F3" s="1081"/>
      <c r="G3" s="1081"/>
    </row>
    <row r="5" spans="1:7" ht="87.75" customHeight="1">
      <c r="A5" s="310" t="s">
        <v>554</v>
      </c>
      <c r="B5" s="310" t="s">
        <v>555</v>
      </c>
      <c r="C5" s="310" t="s">
        <v>556</v>
      </c>
      <c r="D5" s="310" t="s">
        <v>557</v>
      </c>
      <c r="E5" s="310" t="s">
        <v>558</v>
      </c>
      <c r="F5" s="310" t="s">
        <v>559</v>
      </c>
      <c r="G5" s="310" t="s">
        <v>560</v>
      </c>
    </row>
    <row r="6" spans="1:7">
      <c r="A6" s="310"/>
      <c r="B6" s="1082" t="s">
        <v>41</v>
      </c>
      <c r="C6" s="1082"/>
      <c r="D6" s="1082"/>
      <c r="E6" s="1082"/>
      <c r="F6" s="1082"/>
      <c r="G6" s="1082"/>
    </row>
    <row r="7" spans="1:7" ht="89.25">
      <c r="A7" s="310" t="s">
        <v>16</v>
      </c>
      <c r="B7" s="310" t="s">
        <v>561</v>
      </c>
      <c r="C7" s="310" t="s">
        <v>562</v>
      </c>
      <c r="D7" s="1083" t="s">
        <v>149</v>
      </c>
      <c r="E7" s="310">
        <v>2018</v>
      </c>
      <c r="F7" s="310" t="s">
        <v>563</v>
      </c>
      <c r="G7" s="51" t="s">
        <v>564</v>
      </c>
    </row>
    <row r="8" spans="1:7" ht="118.5" customHeight="1">
      <c r="A8" s="310" t="s">
        <v>40</v>
      </c>
      <c r="B8" s="310" t="s">
        <v>565</v>
      </c>
      <c r="C8" s="310" t="s">
        <v>566</v>
      </c>
      <c r="D8" s="1084"/>
      <c r="E8" s="310">
        <v>2018</v>
      </c>
      <c r="F8" s="310" t="s">
        <v>567</v>
      </c>
      <c r="G8" s="310" t="s">
        <v>566</v>
      </c>
    </row>
    <row r="9" spans="1:7">
      <c r="A9" s="1085" t="s">
        <v>568</v>
      </c>
      <c r="B9" s="1085"/>
      <c r="C9" s="1085"/>
      <c r="D9" s="1085"/>
      <c r="E9" s="1085"/>
      <c r="F9" s="1085"/>
      <c r="G9" s="1085"/>
    </row>
  </sheetData>
  <mergeCells count="4">
    <mergeCell ref="A3:G3"/>
    <mergeCell ref="B6:G6"/>
    <mergeCell ref="D7:D8"/>
    <mergeCell ref="A9:G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471"/>
  <sheetViews>
    <sheetView topLeftCell="A31" zoomScale="110" zoomScaleNormal="110" zoomScaleSheetLayoutView="128" workbookViewId="0">
      <selection activeCell="C124" sqref="C124:C131"/>
    </sheetView>
  </sheetViews>
  <sheetFormatPr defaultColWidth="8.85546875" defaultRowHeight="15"/>
  <cols>
    <col min="1" max="1" width="4.7109375" style="77" customWidth="1"/>
    <col min="2" max="2" width="23" style="101" customWidth="1"/>
    <col min="3" max="3" width="13.85546875" style="102" customWidth="1"/>
    <col min="4" max="4" width="19.42578125" style="102" customWidth="1"/>
    <col min="5" max="5" width="13.7109375" style="102" customWidth="1"/>
    <col min="6" max="6" width="15.7109375" style="102" customWidth="1"/>
    <col min="7" max="7" width="9.85546875" customWidth="1"/>
    <col min="8" max="9" width="9" style="103" customWidth="1"/>
    <col min="10" max="10" width="8.42578125" style="103" customWidth="1"/>
    <col min="11" max="11" width="8.28515625" style="103" customWidth="1"/>
    <col min="12" max="12" width="7.140625" style="103" customWidth="1"/>
    <col min="257" max="257" width="4.7109375" customWidth="1"/>
    <col min="258" max="258" width="23" customWidth="1"/>
    <col min="259" max="259" width="13.85546875" customWidth="1"/>
    <col min="260" max="260" width="19.42578125" customWidth="1"/>
    <col min="261" max="261" width="13.7109375" customWidth="1"/>
    <col min="262" max="262" width="15.7109375" customWidth="1"/>
    <col min="263" max="263" width="9.85546875" customWidth="1"/>
    <col min="264" max="265" width="9" customWidth="1"/>
    <col min="266" max="266" width="8.42578125" customWidth="1"/>
    <col min="267" max="267" width="8.28515625" customWidth="1"/>
    <col min="268" max="268" width="7.140625" customWidth="1"/>
    <col min="513" max="513" width="4.7109375" customWidth="1"/>
    <col min="514" max="514" width="23" customWidth="1"/>
    <col min="515" max="515" width="13.85546875" customWidth="1"/>
    <col min="516" max="516" width="19.42578125" customWidth="1"/>
    <col min="517" max="517" width="13.7109375" customWidth="1"/>
    <col min="518" max="518" width="15.7109375" customWidth="1"/>
    <col min="519" max="519" width="9.85546875" customWidth="1"/>
    <col min="520" max="521" width="9" customWidth="1"/>
    <col min="522" max="522" width="8.42578125" customWidth="1"/>
    <col min="523" max="523" width="8.28515625" customWidth="1"/>
    <col min="524" max="524" width="7.140625" customWidth="1"/>
    <col min="769" max="769" width="4.7109375" customWidth="1"/>
    <col min="770" max="770" width="23" customWidth="1"/>
    <col min="771" max="771" width="13.85546875" customWidth="1"/>
    <col min="772" max="772" width="19.42578125" customWidth="1"/>
    <col min="773" max="773" width="13.7109375" customWidth="1"/>
    <col min="774" max="774" width="15.7109375" customWidth="1"/>
    <col min="775" max="775" width="9.85546875" customWidth="1"/>
    <col min="776" max="777" width="9" customWidth="1"/>
    <col min="778" max="778" width="8.42578125" customWidth="1"/>
    <col min="779" max="779" width="8.28515625" customWidth="1"/>
    <col min="780" max="780" width="7.140625" customWidth="1"/>
    <col min="1025" max="1025" width="4.7109375" customWidth="1"/>
    <col min="1026" max="1026" width="23" customWidth="1"/>
    <col min="1027" max="1027" width="13.85546875" customWidth="1"/>
    <col min="1028" max="1028" width="19.42578125" customWidth="1"/>
    <col min="1029" max="1029" width="13.7109375" customWidth="1"/>
    <col min="1030" max="1030" width="15.7109375" customWidth="1"/>
    <col min="1031" max="1031" width="9.85546875" customWidth="1"/>
    <col min="1032" max="1033" width="9" customWidth="1"/>
    <col min="1034" max="1034" width="8.42578125" customWidth="1"/>
    <col min="1035" max="1035" width="8.28515625" customWidth="1"/>
    <col min="1036" max="1036" width="7.140625" customWidth="1"/>
    <col min="1281" max="1281" width="4.7109375" customWidth="1"/>
    <col min="1282" max="1282" width="23" customWidth="1"/>
    <col min="1283" max="1283" width="13.85546875" customWidth="1"/>
    <col min="1284" max="1284" width="19.42578125" customWidth="1"/>
    <col min="1285" max="1285" width="13.7109375" customWidth="1"/>
    <col min="1286" max="1286" width="15.7109375" customWidth="1"/>
    <col min="1287" max="1287" width="9.85546875" customWidth="1"/>
    <col min="1288" max="1289" width="9" customWidth="1"/>
    <col min="1290" max="1290" width="8.42578125" customWidth="1"/>
    <col min="1291" max="1291" width="8.28515625" customWidth="1"/>
    <col min="1292" max="1292" width="7.140625" customWidth="1"/>
    <col min="1537" max="1537" width="4.7109375" customWidth="1"/>
    <col min="1538" max="1538" width="23" customWidth="1"/>
    <col min="1539" max="1539" width="13.85546875" customWidth="1"/>
    <col min="1540" max="1540" width="19.42578125" customWidth="1"/>
    <col min="1541" max="1541" width="13.7109375" customWidth="1"/>
    <col min="1542" max="1542" width="15.7109375" customWidth="1"/>
    <col min="1543" max="1543" width="9.85546875" customWidth="1"/>
    <col min="1544" max="1545" width="9" customWidth="1"/>
    <col min="1546" max="1546" width="8.42578125" customWidth="1"/>
    <col min="1547" max="1547" width="8.28515625" customWidth="1"/>
    <col min="1548" max="1548" width="7.140625" customWidth="1"/>
    <col min="1793" max="1793" width="4.7109375" customWidth="1"/>
    <col min="1794" max="1794" width="23" customWidth="1"/>
    <col min="1795" max="1795" width="13.85546875" customWidth="1"/>
    <col min="1796" max="1796" width="19.42578125" customWidth="1"/>
    <col min="1797" max="1797" width="13.7109375" customWidth="1"/>
    <col min="1798" max="1798" width="15.7109375" customWidth="1"/>
    <col min="1799" max="1799" width="9.85546875" customWidth="1"/>
    <col min="1800" max="1801" width="9" customWidth="1"/>
    <col min="1802" max="1802" width="8.42578125" customWidth="1"/>
    <col min="1803" max="1803" width="8.28515625" customWidth="1"/>
    <col min="1804" max="1804" width="7.140625" customWidth="1"/>
    <col min="2049" max="2049" width="4.7109375" customWidth="1"/>
    <col min="2050" max="2050" width="23" customWidth="1"/>
    <col min="2051" max="2051" width="13.85546875" customWidth="1"/>
    <col min="2052" max="2052" width="19.42578125" customWidth="1"/>
    <col min="2053" max="2053" width="13.7109375" customWidth="1"/>
    <col min="2054" max="2054" width="15.7109375" customWidth="1"/>
    <col min="2055" max="2055" width="9.85546875" customWidth="1"/>
    <col min="2056" max="2057" width="9" customWidth="1"/>
    <col min="2058" max="2058" width="8.42578125" customWidth="1"/>
    <col min="2059" max="2059" width="8.28515625" customWidth="1"/>
    <col min="2060" max="2060" width="7.140625" customWidth="1"/>
    <col min="2305" max="2305" width="4.7109375" customWidth="1"/>
    <col min="2306" max="2306" width="23" customWidth="1"/>
    <col min="2307" max="2307" width="13.85546875" customWidth="1"/>
    <col min="2308" max="2308" width="19.42578125" customWidth="1"/>
    <col min="2309" max="2309" width="13.7109375" customWidth="1"/>
    <col min="2310" max="2310" width="15.7109375" customWidth="1"/>
    <col min="2311" max="2311" width="9.85546875" customWidth="1"/>
    <col min="2312" max="2313" width="9" customWidth="1"/>
    <col min="2314" max="2314" width="8.42578125" customWidth="1"/>
    <col min="2315" max="2315" width="8.28515625" customWidth="1"/>
    <col min="2316" max="2316" width="7.140625" customWidth="1"/>
    <col min="2561" max="2561" width="4.7109375" customWidth="1"/>
    <col min="2562" max="2562" width="23" customWidth="1"/>
    <col min="2563" max="2563" width="13.85546875" customWidth="1"/>
    <col min="2564" max="2564" width="19.42578125" customWidth="1"/>
    <col min="2565" max="2565" width="13.7109375" customWidth="1"/>
    <col min="2566" max="2566" width="15.7109375" customWidth="1"/>
    <col min="2567" max="2567" width="9.85546875" customWidth="1"/>
    <col min="2568" max="2569" width="9" customWidth="1"/>
    <col min="2570" max="2570" width="8.42578125" customWidth="1"/>
    <col min="2571" max="2571" width="8.28515625" customWidth="1"/>
    <col min="2572" max="2572" width="7.140625" customWidth="1"/>
    <col min="2817" max="2817" width="4.7109375" customWidth="1"/>
    <col min="2818" max="2818" width="23" customWidth="1"/>
    <col min="2819" max="2819" width="13.85546875" customWidth="1"/>
    <col min="2820" max="2820" width="19.42578125" customWidth="1"/>
    <col min="2821" max="2821" width="13.7109375" customWidth="1"/>
    <col min="2822" max="2822" width="15.7109375" customWidth="1"/>
    <col min="2823" max="2823" width="9.85546875" customWidth="1"/>
    <col min="2824" max="2825" width="9" customWidth="1"/>
    <col min="2826" max="2826" width="8.42578125" customWidth="1"/>
    <col min="2827" max="2827" width="8.28515625" customWidth="1"/>
    <col min="2828" max="2828" width="7.140625" customWidth="1"/>
    <col min="3073" max="3073" width="4.7109375" customWidth="1"/>
    <col min="3074" max="3074" width="23" customWidth="1"/>
    <col min="3075" max="3075" width="13.85546875" customWidth="1"/>
    <col min="3076" max="3076" width="19.42578125" customWidth="1"/>
    <col min="3077" max="3077" width="13.7109375" customWidth="1"/>
    <col min="3078" max="3078" width="15.7109375" customWidth="1"/>
    <col min="3079" max="3079" width="9.85546875" customWidth="1"/>
    <col min="3080" max="3081" width="9" customWidth="1"/>
    <col min="3082" max="3082" width="8.42578125" customWidth="1"/>
    <col min="3083" max="3083" width="8.28515625" customWidth="1"/>
    <col min="3084" max="3084" width="7.140625" customWidth="1"/>
    <col min="3329" max="3329" width="4.7109375" customWidth="1"/>
    <col min="3330" max="3330" width="23" customWidth="1"/>
    <col min="3331" max="3331" width="13.85546875" customWidth="1"/>
    <col min="3332" max="3332" width="19.42578125" customWidth="1"/>
    <col min="3333" max="3333" width="13.7109375" customWidth="1"/>
    <col min="3334" max="3334" width="15.7109375" customWidth="1"/>
    <col min="3335" max="3335" width="9.85546875" customWidth="1"/>
    <col min="3336" max="3337" width="9" customWidth="1"/>
    <col min="3338" max="3338" width="8.42578125" customWidth="1"/>
    <col min="3339" max="3339" width="8.28515625" customWidth="1"/>
    <col min="3340" max="3340" width="7.140625" customWidth="1"/>
    <col min="3585" max="3585" width="4.7109375" customWidth="1"/>
    <col min="3586" max="3586" width="23" customWidth="1"/>
    <col min="3587" max="3587" width="13.85546875" customWidth="1"/>
    <col min="3588" max="3588" width="19.42578125" customWidth="1"/>
    <col min="3589" max="3589" width="13.7109375" customWidth="1"/>
    <col min="3590" max="3590" width="15.7109375" customWidth="1"/>
    <col min="3591" max="3591" width="9.85546875" customWidth="1"/>
    <col min="3592" max="3593" width="9" customWidth="1"/>
    <col min="3594" max="3594" width="8.42578125" customWidth="1"/>
    <col min="3595" max="3595" width="8.28515625" customWidth="1"/>
    <col min="3596" max="3596" width="7.140625" customWidth="1"/>
    <col min="3841" max="3841" width="4.7109375" customWidth="1"/>
    <col min="3842" max="3842" width="23" customWidth="1"/>
    <col min="3843" max="3843" width="13.85546875" customWidth="1"/>
    <col min="3844" max="3844" width="19.42578125" customWidth="1"/>
    <col min="3845" max="3845" width="13.7109375" customWidth="1"/>
    <col min="3846" max="3846" width="15.7109375" customWidth="1"/>
    <col min="3847" max="3847" width="9.85546875" customWidth="1"/>
    <col min="3848" max="3849" width="9" customWidth="1"/>
    <col min="3850" max="3850" width="8.42578125" customWidth="1"/>
    <col min="3851" max="3851" width="8.28515625" customWidth="1"/>
    <col min="3852" max="3852" width="7.140625" customWidth="1"/>
    <col min="4097" max="4097" width="4.7109375" customWidth="1"/>
    <col min="4098" max="4098" width="23" customWidth="1"/>
    <col min="4099" max="4099" width="13.85546875" customWidth="1"/>
    <col min="4100" max="4100" width="19.42578125" customWidth="1"/>
    <col min="4101" max="4101" width="13.7109375" customWidth="1"/>
    <col min="4102" max="4102" width="15.7109375" customWidth="1"/>
    <col min="4103" max="4103" width="9.85546875" customWidth="1"/>
    <col min="4104" max="4105" width="9" customWidth="1"/>
    <col min="4106" max="4106" width="8.42578125" customWidth="1"/>
    <col min="4107" max="4107" width="8.28515625" customWidth="1"/>
    <col min="4108" max="4108" width="7.140625" customWidth="1"/>
    <col min="4353" max="4353" width="4.7109375" customWidth="1"/>
    <col min="4354" max="4354" width="23" customWidth="1"/>
    <col min="4355" max="4355" width="13.85546875" customWidth="1"/>
    <col min="4356" max="4356" width="19.42578125" customWidth="1"/>
    <col min="4357" max="4357" width="13.7109375" customWidth="1"/>
    <col min="4358" max="4358" width="15.7109375" customWidth="1"/>
    <col min="4359" max="4359" width="9.85546875" customWidth="1"/>
    <col min="4360" max="4361" width="9" customWidth="1"/>
    <col min="4362" max="4362" width="8.42578125" customWidth="1"/>
    <col min="4363" max="4363" width="8.28515625" customWidth="1"/>
    <col min="4364" max="4364" width="7.140625" customWidth="1"/>
    <col min="4609" max="4609" width="4.7109375" customWidth="1"/>
    <col min="4610" max="4610" width="23" customWidth="1"/>
    <col min="4611" max="4611" width="13.85546875" customWidth="1"/>
    <col min="4612" max="4612" width="19.42578125" customWidth="1"/>
    <col min="4613" max="4613" width="13.7109375" customWidth="1"/>
    <col min="4614" max="4614" width="15.7109375" customWidth="1"/>
    <col min="4615" max="4615" width="9.85546875" customWidth="1"/>
    <col min="4616" max="4617" width="9" customWidth="1"/>
    <col min="4618" max="4618" width="8.42578125" customWidth="1"/>
    <col min="4619" max="4619" width="8.28515625" customWidth="1"/>
    <col min="4620" max="4620" width="7.140625" customWidth="1"/>
    <col min="4865" max="4865" width="4.7109375" customWidth="1"/>
    <col min="4866" max="4866" width="23" customWidth="1"/>
    <col min="4867" max="4867" width="13.85546875" customWidth="1"/>
    <col min="4868" max="4868" width="19.42578125" customWidth="1"/>
    <col min="4869" max="4869" width="13.7109375" customWidth="1"/>
    <col min="4870" max="4870" width="15.7109375" customWidth="1"/>
    <col min="4871" max="4871" width="9.85546875" customWidth="1"/>
    <col min="4872" max="4873" width="9" customWidth="1"/>
    <col min="4874" max="4874" width="8.42578125" customWidth="1"/>
    <col min="4875" max="4875" width="8.28515625" customWidth="1"/>
    <col min="4876" max="4876" width="7.140625" customWidth="1"/>
    <col min="5121" max="5121" width="4.7109375" customWidth="1"/>
    <col min="5122" max="5122" width="23" customWidth="1"/>
    <col min="5123" max="5123" width="13.85546875" customWidth="1"/>
    <col min="5124" max="5124" width="19.42578125" customWidth="1"/>
    <col min="5125" max="5125" width="13.7109375" customWidth="1"/>
    <col min="5126" max="5126" width="15.7109375" customWidth="1"/>
    <col min="5127" max="5127" width="9.85546875" customWidth="1"/>
    <col min="5128" max="5129" width="9" customWidth="1"/>
    <col min="5130" max="5130" width="8.42578125" customWidth="1"/>
    <col min="5131" max="5131" width="8.28515625" customWidth="1"/>
    <col min="5132" max="5132" width="7.140625" customWidth="1"/>
    <col min="5377" max="5377" width="4.7109375" customWidth="1"/>
    <col min="5378" max="5378" width="23" customWidth="1"/>
    <col min="5379" max="5379" width="13.85546875" customWidth="1"/>
    <col min="5380" max="5380" width="19.42578125" customWidth="1"/>
    <col min="5381" max="5381" width="13.7109375" customWidth="1"/>
    <col min="5382" max="5382" width="15.7109375" customWidth="1"/>
    <col min="5383" max="5383" width="9.85546875" customWidth="1"/>
    <col min="5384" max="5385" width="9" customWidth="1"/>
    <col min="5386" max="5386" width="8.42578125" customWidth="1"/>
    <col min="5387" max="5387" width="8.28515625" customWidth="1"/>
    <col min="5388" max="5388" width="7.140625" customWidth="1"/>
    <col min="5633" max="5633" width="4.7109375" customWidth="1"/>
    <col min="5634" max="5634" width="23" customWidth="1"/>
    <col min="5635" max="5635" width="13.85546875" customWidth="1"/>
    <col min="5636" max="5636" width="19.42578125" customWidth="1"/>
    <col min="5637" max="5637" width="13.7109375" customWidth="1"/>
    <col min="5638" max="5638" width="15.7109375" customWidth="1"/>
    <col min="5639" max="5639" width="9.85546875" customWidth="1"/>
    <col min="5640" max="5641" width="9" customWidth="1"/>
    <col min="5642" max="5642" width="8.42578125" customWidth="1"/>
    <col min="5643" max="5643" width="8.28515625" customWidth="1"/>
    <col min="5644" max="5644" width="7.140625" customWidth="1"/>
    <col min="5889" max="5889" width="4.7109375" customWidth="1"/>
    <col min="5890" max="5890" width="23" customWidth="1"/>
    <col min="5891" max="5891" width="13.85546875" customWidth="1"/>
    <col min="5892" max="5892" width="19.42578125" customWidth="1"/>
    <col min="5893" max="5893" width="13.7109375" customWidth="1"/>
    <col min="5894" max="5894" width="15.7109375" customWidth="1"/>
    <col min="5895" max="5895" width="9.85546875" customWidth="1"/>
    <col min="5896" max="5897" width="9" customWidth="1"/>
    <col min="5898" max="5898" width="8.42578125" customWidth="1"/>
    <col min="5899" max="5899" width="8.28515625" customWidth="1"/>
    <col min="5900" max="5900" width="7.140625" customWidth="1"/>
    <col min="6145" max="6145" width="4.7109375" customWidth="1"/>
    <col min="6146" max="6146" width="23" customWidth="1"/>
    <col min="6147" max="6147" width="13.85546875" customWidth="1"/>
    <col min="6148" max="6148" width="19.42578125" customWidth="1"/>
    <col min="6149" max="6149" width="13.7109375" customWidth="1"/>
    <col min="6150" max="6150" width="15.7109375" customWidth="1"/>
    <col min="6151" max="6151" width="9.85546875" customWidth="1"/>
    <col min="6152" max="6153" width="9" customWidth="1"/>
    <col min="6154" max="6154" width="8.42578125" customWidth="1"/>
    <col min="6155" max="6155" width="8.28515625" customWidth="1"/>
    <col min="6156" max="6156" width="7.140625" customWidth="1"/>
    <col min="6401" max="6401" width="4.7109375" customWidth="1"/>
    <col min="6402" max="6402" width="23" customWidth="1"/>
    <col min="6403" max="6403" width="13.85546875" customWidth="1"/>
    <col min="6404" max="6404" width="19.42578125" customWidth="1"/>
    <col min="6405" max="6405" width="13.7109375" customWidth="1"/>
    <col min="6406" max="6406" width="15.7109375" customWidth="1"/>
    <col min="6407" max="6407" width="9.85546875" customWidth="1"/>
    <col min="6408" max="6409" width="9" customWidth="1"/>
    <col min="6410" max="6410" width="8.42578125" customWidth="1"/>
    <col min="6411" max="6411" width="8.28515625" customWidth="1"/>
    <col min="6412" max="6412" width="7.140625" customWidth="1"/>
    <col min="6657" max="6657" width="4.7109375" customWidth="1"/>
    <col min="6658" max="6658" width="23" customWidth="1"/>
    <col min="6659" max="6659" width="13.85546875" customWidth="1"/>
    <col min="6660" max="6660" width="19.42578125" customWidth="1"/>
    <col min="6661" max="6661" width="13.7109375" customWidth="1"/>
    <col min="6662" max="6662" width="15.7109375" customWidth="1"/>
    <col min="6663" max="6663" width="9.85546875" customWidth="1"/>
    <col min="6664" max="6665" width="9" customWidth="1"/>
    <col min="6666" max="6666" width="8.42578125" customWidth="1"/>
    <col min="6667" max="6667" width="8.28515625" customWidth="1"/>
    <col min="6668" max="6668" width="7.140625" customWidth="1"/>
    <col min="6913" max="6913" width="4.7109375" customWidth="1"/>
    <col min="6914" max="6914" width="23" customWidth="1"/>
    <col min="6915" max="6915" width="13.85546875" customWidth="1"/>
    <col min="6916" max="6916" width="19.42578125" customWidth="1"/>
    <col min="6917" max="6917" width="13.7109375" customWidth="1"/>
    <col min="6918" max="6918" width="15.7109375" customWidth="1"/>
    <col min="6919" max="6919" width="9.85546875" customWidth="1"/>
    <col min="6920" max="6921" width="9" customWidth="1"/>
    <col min="6922" max="6922" width="8.42578125" customWidth="1"/>
    <col min="6923" max="6923" width="8.28515625" customWidth="1"/>
    <col min="6924" max="6924" width="7.140625" customWidth="1"/>
    <col min="7169" max="7169" width="4.7109375" customWidth="1"/>
    <col min="7170" max="7170" width="23" customWidth="1"/>
    <col min="7171" max="7171" width="13.85546875" customWidth="1"/>
    <col min="7172" max="7172" width="19.42578125" customWidth="1"/>
    <col min="7173" max="7173" width="13.7109375" customWidth="1"/>
    <col min="7174" max="7174" width="15.7109375" customWidth="1"/>
    <col min="7175" max="7175" width="9.85546875" customWidth="1"/>
    <col min="7176" max="7177" width="9" customWidth="1"/>
    <col min="7178" max="7178" width="8.42578125" customWidth="1"/>
    <col min="7179" max="7179" width="8.28515625" customWidth="1"/>
    <col min="7180" max="7180" width="7.140625" customWidth="1"/>
    <col min="7425" max="7425" width="4.7109375" customWidth="1"/>
    <col min="7426" max="7426" width="23" customWidth="1"/>
    <col min="7427" max="7427" width="13.85546875" customWidth="1"/>
    <col min="7428" max="7428" width="19.42578125" customWidth="1"/>
    <col min="7429" max="7429" width="13.7109375" customWidth="1"/>
    <col min="7430" max="7430" width="15.7109375" customWidth="1"/>
    <col min="7431" max="7431" width="9.85546875" customWidth="1"/>
    <col min="7432" max="7433" width="9" customWidth="1"/>
    <col min="7434" max="7434" width="8.42578125" customWidth="1"/>
    <col min="7435" max="7435" width="8.28515625" customWidth="1"/>
    <col min="7436" max="7436" width="7.140625" customWidth="1"/>
    <col min="7681" max="7681" width="4.7109375" customWidth="1"/>
    <col min="7682" max="7682" width="23" customWidth="1"/>
    <col min="7683" max="7683" width="13.85546875" customWidth="1"/>
    <col min="7684" max="7684" width="19.42578125" customWidth="1"/>
    <col min="7685" max="7685" width="13.7109375" customWidth="1"/>
    <col min="7686" max="7686" width="15.7109375" customWidth="1"/>
    <col min="7687" max="7687" width="9.85546875" customWidth="1"/>
    <col min="7688" max="7689" width="9" customWidth="1"/>
    <col min="7690" max="7690" width="8.42578125" customWidth="1"/>
    <col min="7691" max="7691" width="8.28515625" customWidth="1"/>
    <col min="7692" max="7692" width="7.140625" customWidth="1"/>
    <col min="7937" max="7937" width="4.7109375" customWidth="1"/>
    <col min="7938" max="7938" width="23" customWidth="1"/>
    <col min="7939" max="7939" width="13.85546875" customWidth="1"/>
    <col min="7940" max="7940" width="19.42578125" customWidth="1"/>
    <col min="7941" max="7941" width="13.7109375" customWidth="1"/>
    <col min="7942" max="7942" width="15.7109375" customWidth="1"/>
    <col min="7943" max="7943" width="9.85546875" customWidth="1"/>
    <col min="7944" max="7945" width="9" customWidth="1"/>
    <col min="7946" max="7946" width="8.42578125" customWidth="1"/>
    <col min="7947" max="7947" width="8.28515625" customWidth="1"/>
    <col min="7948" max="7948" width="7.140625" customWidth="1"/>
    <col min="8193" max="8193" width="4.7109375" customWidth="1"/>
    <col min="8194" max="8194" width="23" customWidth="1"/>
    <col min="8195" max="8195" width="13.85546875" customWidth="1"/>
    <col min="8196" max="8196" width="19.42578125" customWidth="1"/>
    <col min="8197" max="8197" width="13.7109375" customWidth="1"/>
    <col min="8198" max="8198" width="15.7109375" customWidth="1"/>
    <col min="8199" max="8199" width="9.85546875" customWidth="1"/>
    <col min="8200" max="8201" width="9" customWidth="1"/>
    <col min="8202" max="8202" width="8.42578125" customWidth="1"/>
    <col min="8203" max="8203" width="8.28515625" customWidth="1"/>
    <col min="8204" max="8204" width="7.140625" customWidth="1"/>
    <col min="8449" max="8449" width="4.7109375" customWidth="1"/>
    <col min="8450" max="8450" width="23" customWidth="1"/>
    <col min="8451" max="8451" width="13.85546875" customWidth="1"/>
    <col min="8452" max="8452" width="19.42578125" customWidth="1"/>
    <col min="8453" max="8453" width="13.7109375" customWidth="1"/>
    <col min="8454" max="8454" width="15.7109375" customWidth="1"/>
    <col min="8455" max="8455" width="9.85546875" customWidth="1"/>
    <col min="8456" max="8457" width="9" customWidth="1"/>
    <col min="8458" max="8458" width="8.42578125" customWidth="1"/>
    <col min="8459" max="8459" width="8.28515625" customWidth="1"/>
    <col min="8460" max="8460" width="7.140625" customWidth="1"/>
    <col min="8705" max="8705" width="4.7109375" customWidth="1"/>
    <col min="8706" max="8706" width="23" customWidth="1"/>
    <col min="8707" max="8707" width="13.85546875" customWidth="1"/>
    <col min="8708" max="8708" width="19.42578125" customWidth="1"/>
    <col min="8709" max="8709" width="13.7109375" customWidth="1"/>
    <col min="8710" max="8710" width="15.7109375" customWidth="1"/>
    <col min="8711" max="8711" width="9.85546875" customWidth="1"/>
    <col min="8712" max="8713" width="9" customWidth="1"/>
    <col min="8714" max="8714" width="8.42578125" customWidth="1"/>
    <col min="8715" max="8715" width="8.28515625" customWidth="1"/>
    <col min="8716" max="8716" width="7.140625" customWidth="1"/>
    <col min="8961" max="8961" width="4.7109375" customWidth="1"/>
    <col min="8962" max="8962" width="23" customWidth="1"/>
    <col min="8963" max="8963" width="13.85546875" customWidth="1"/>
    <col min="8964" max="8964" width="19.42578125" customWidth="1"/>
    <col min="8965" max="8965" width="13.7109375" customWidth="1"/>
    <col min="8966" max="8966" width="15.7109375" customWidth="1"/>
    <col min="8967" max="8967" width="9.85546875" customWidth="1"/>
    <col min="8968" max="8969" width="9" customWidth="1"/>
    <col min="8970" max="8970" width="8.42578125" customWidth="1"/>
    <col min="8971" max="8971" width="8.28515625" customWidth="1"/>
    <col min="8972" max="8972" width="7.140625" customWidth="1"/>
    <col min="9217" max="9217" width="4.7109375" customWidth="1"/>
    <col min="9218" max="9218" width="23" customWidth="1"/>
    <col min="9219" max="9219" width="13.85546875" customWidth="1"/>
    <col min="9220" max="9220" width="19.42578125" customWidth="1"/>
    <col min="9221" max="9221" width="13.7109375" customWidth="1"/>
    <col min="9222" max="9222" width="15.7109375" customWidth="1"/>
    <col min="9223" max="9223" width="9.85546875" customWidth="1"/>
    <col min="9224" max="9225" width="9" customWidth="1"/>
    <col min="9226" max="9226" width="8.42578125" customWidth="1"/>
    <col min="9227" max="9227" width="8.28515625" customWidth="1"/>
    <col min="9228" max="9228" width="7.140625" customWidth="1"/>
    <col min="9473" max="9473" width="4.7109375" customWidth="1"/>
    <col min="9474" max="9474" width="23" customWidth="1"/>
    <col min="9475" max="9475" width="13.85546875" customWidth="1"/>
    <col min="9476" max="9476" width="19.42578125" customWidth="1"/>
    <col min="9477" max="9477" width="13.7109375" customWidth="1"/>
    <col min="9478" max="9478" width="15.7109375" customWidth="1"/>
    <col min="9479" max="9479" width="9.85546875" customWidth="1"/>
    <col min="9480" max="9481" width="9" customWidth="1"/>
    <col min="9482" max="9482" width="8.42578125" customWidth="1"/>
    <col min="9483" max="9483" width="8.28515625" customWidth="1"/>
    <col min="9484" max="9484" width="7.140625" customWidth="1"/>
    <col min="9729" max="9729" width="4.7109375" customWidth="1"/>
    <col min="9730" max="9730" width="23" customWidth="1"/>
    <col min="9731" max="9731" width="13.85546875" customWidth="1"/>
    <col min="9732" max="9732" width="19.42578125" customWidth="1"/>
    <col min="9733" max="9733" width="13.7109375" customWidth="1"/>
    <col min="9734" max="9734" width="15.7109375" customWidth="1"/>
    <col min="9735" max="9735" width="9.85546875" customWidth="1"/>
    <col min="9736" max="9737" width="9" customWidth="1"/>
    <col min="9738" max="9738" width="8.42578125" customWidth="1"/>
    <col min="9739" max="9739" width="8.28515625" customWidth="1"/>
    <col min="9740" max="9740" width="7.140625" customWidth="1"/>
    <col min="9985" max="9985" width="4.7109375" customWidth="1"/>
    <col min="9986" max="9986" width="23" customWidth="1"/>
    <col min="9987" max="9987" width="13.85546875" customWidth="1"/>
    <col min="9988" max="9988" width="19.42578125" customWidth="1"/>
    <col min="9989" max="9989" width="13.7109375" customWidth="1"/>
    <col min="9990" max="9990" width="15.7109375" customWidth="1"/>
    <col min="9991" max="9991" width="9.85546875" customWidth="1"/>
    <col min="9992" max="9993" width="9" customWidth="1"/>
    <col min="9994" max="9994" width="8.42578125" customWidth="1"/>
    <col min="9995" max="9995" width="8.28515625" customWidth="1"/>
    <col min="9996" max="9996" width="7.140625" customWidth="1"/>
    <col min="10241" max="10241" width="4.7109375" customWidth="1"/>
    <col min="10242" max="10242" width="23" customWidth="1"/>
    <col min="10243" max="10243" width="13.85546875" customWidth="1"/>
    <col min="10244" max="10244" width="19.42578125" customWidth="1"/>
    <col min="10245" max="10245" width="13.7109375" customWidth="1"/>
    <col min="10246" max="10246" width="15.7109375" customWidth="1"/>
    <col min="10247" max="10247" width="9.85546875" customWidth="1"/>
    <col min="10248" max="10249" width="9" customWidth="1"/>
    <col min="10250" max="10250" width="8.42578125" customWidth="1"/>
    <col min="10251" max="10251" width="8.28515625" customWidth="1"/>
    <col min="10252" max="10252" width="7.140625" customWidth="1"/>
    <col min="10497" max="10497" width="4.7109375" customWidth="1"/>
    <col min="10498" max="10498" width="23" customWidth="1"/>
    <col min="10499" max="10499" width="13.85546875" customWidth="1"/>
    <col min="10500" max="10500" width="19.42578125" customWidth="1"/>
    <col min="10501" max="10501" width="13.7109375" customWidth="1"/>
    <col min="10502" max="10502" width="15.7109375" customWidth="1"/>
    <col min="10503" max="10503" width="9.85546875" customWidth="1"/>
    <col min="10504" max="10505" width="9" customWidth="1"/>
    <col min="10506" max="10506" width="8.42578125" customWidth="1"/>
    <col min="10507" max="10507" width="8.28515625" customWidth="1"/>
    <col min="10508" max="10508" width="7.140625" customWidth="1"/>
    <col min="10753" max="10753" width="4.7109375" customWidth="1"/>
    <col min="10754" max="10754" width="23" customWidth="1"/>
    <col min="10755" max="10755" width="13.85546875" customWidth="1"/>
    <col min="10756" max="10756" width="19.42578125" customWidth="1"/>
    <col min="10757" max="10757" width="13.7109375" customWidth="1"/>
    <col min="10758" max="10758" width="15.7109375" customWidth="1"/>
    <col min="10759" max="10759" width="9.85546875" customWidth="1"/>
    <col min="10760" max="10761" width="9" customWidth="1"/>
    <col min="10762" max="10762" width="8.42578125" customWidth="1"/>
    <col min="10763" max="10763" width="8.28515625" customWidth="1"/>
    <col min="10764" max="10764" width="7.140625" customWidth="1"/>
    <col min="11009" max="11009" width="4.7109375" customWidth="1"/>
    <col min="11010" max="11010" width="23" customWidth="1"/>
    <col min="11011" max="11011" width="13.85546875" customWidth="1"/>
    <col min="11012" max="11012" width="19.42578125" customWidth="1"/>
    <col min="11013" max="11013" width="13.7109375" customWidth="1"/>
    <col min="11014" max="11014" width="15.7109375" customWidth="1"/>
    <col min="11015" max="11015" width="9.85546875" customWidth="1"/>
    <col min="11016" max="11017" width="9" customWidth="1"/>
    <col min="11018" max="11018" width="8.42578125" customWidth="1"/>
    <col min="11019" max="11019" width="8.28515625" customWidth="1"/>
    <col min="11020" max="11020" width="7.140625" customWidth="1"/>
    <col min="11265" max="11265" width="4.7109375" customWidth="1"/>
    <col min="11266" max="11266" width="23" customWidth="1"/>
    <col min="11267" max="11267" width="13.85546875" customWidth="1"/>
    <col min="11268" max="11268" width="19.42578125" customWidth="1"/>
    <col min="11269" max="11269" width="13.7109375" customWidth="1"/>
    <col min="11270" max="11270" width="15.7109375" customWidth="1"/>
    <col min="11271" max="11271" width="9.85546875" customWidth="1"/>
    <col min="11272" max="11273" width="9" customWidth="1"/>
    <col min="11274" max="11274" width="8.42578125" customWidth="1"/>
    <col min="11275" max="11275" width="8.28515625" customWidth="1"/>
    <col min="11276" max="11276" width="7.140625" customWidth="1"/>
    <col min="11521" max="11521" width="4.7109375" customWidth="1"/>
    <col min="11522" max="11522" width="23" customWidth="1"/>
    <col min="11523" max="11523" width="13.85546875" customWidth="1"/>
    <col min="11524" max="11524" width="19.42578125" customWidth="1"/>
    <col min="11525" max="11525" width="13.7109375" customWidth="1"/>
    <col min="11526" max="11526" width="15.7109375" customWidth="1"/>
    <col min="11527" max="11527" width="9.85546875" customWidth="1"/>
    <col min="11528" max="11529" width="9" customWidth="1"/>
    <col min="11530" max="11530" width="8.42578125" customWidth="1"/>
    <col min="11531" max="11531" width="8.28515625" customWidth="1"/>
    <col min="11532" max="11532" width="7.140625" customWidth="1"/>
    <col min="11777" max="11777" width="4.7109375" customWidth="1"/>
    <col min="11778" max="11778" width="23" customWidth="1"/>
    <col min="11779" max="11779" width="13.85546875" customWidth="1"/>
    <col min="11780" max="11780" width="19.42578125" customWidth="1"/>
    <col min="11781" max="11781" width="13.7109375" customWidth="1"/>
    <col min="11782" max="11782" width="15.7109375" customWidth="1"/>
    <col min="11783" max="11783" width="9.85546875" customWidth="1"/>
    <col min="11784" max="11785" width="9" customWidth="1"/>
    <col min="11786" max="11786" width="8.42578125" customWidth="1"/>
    <col min="11787" max="11787" width="8.28515625" customWidth="1"/>
    <col min="11788" max="11788" width="7.140625" customWidth="1"/>
    <col min="12033" max="12033" width="4.7109375" customWidth="1"/>
    <col min="12034" max="12034" width="23" customWidth="1"/>
    <col min="12035" max="12035" width="13.85546875" customWidth="1"/>
    <col min="12036" max="12036" width="19.42578125" customWidth="1"/>
    <col min="12037" max="12037" width="13.7109375" customWidth="1"/>
    <col min="12038" max="12038" width="15.7109375" customWidth="1"/>
    <col min="12039" max="12039" width="9.85546875" customWidth="1"/>
    <col min="12040" max="12041" width="9" customWidth="1"/>
    <col min="12042" max="12042" width="8.42578125" customWidth="1"/>
    <col min="12043" max="12043" width="8.28515625" customWidth="1"/>
    <col min="12044" max="12044" width="7.140625" customWidth="1"/>
    <col min="12289" max="12289" width="4.7109375" customWidth="1"/>
    <col min="12290" max="12290" width="23" customWidth="1"/>
    <col min="12291" max="12291" width="13.85546875" customWidth="1"/>
    <col min="12292" max="12292" width="19.42578125" customWidth="1"/>
    <col min="12293" max="12293" width="13.7109375" customWidth="1"/>
    <col min="12294" max="12294" width="15.7109375" customWidth="1"/>
    <col min="12295" max="12295" width="9.85546875" customWidth="1"/>
    <col min="12296" max="12297" width="9" customWidth="1"/>
    <col min="12298" max="12298" width="8.42578125" customWidth="1"/>
    <col min="12299" max="12299" width="8.28515625" customWidth="1"/>
    <col min="12300" max="12300" width="7.140625" customWidth="1"/>
    <col min="12545" max="12545" width="4.7109375" customWidth="1"/>
    <col min="12546" max="12546" width="23" customWidth="1"/>
    <col min="12547" max="12547" width="13.85546875" customWidth="1"/>
    <col min="12548" max="12548" width="19.42578125" customWidth="1"/>
    <col min="12549" max="12549" width="13.7109375" customWidth="1"/>
    <col min="12550" max="12550" width="15.7109375" customWidth="1"/>
    <col min="12551" max="12551" width="9.85546875" customWidth="1"/>
    <col min="12552" max="12553" width="9" customWidth="1"/>
    <col min="12554" max="12554" width="8.42578125" customWidth="1"/>
    <col min="12555" max="12555" width="8.28515625" customWidth="1"/>
    <col min="12556" max="12556" width="7.140625" customWidth="1"/>
    <col min="12801" max="12801" width="4.7109375" customWidth="1"/>
    <col min="12802" max="12802" width="23" customWidth="1"/>
    <col min="12803" max="12803" width="13.85546875" customWidth="1"/>
    <col min="12804" max="12804" width="19.42578125" customWidth="1"/>
    <col min="12805" max="12805" width="13.7109375" customWidth="1"/>
    <col min="12806" max="12806" width="15.7109375" customWidth="1"/>
    <col min="12807" max="12807" width="9.85546875" customWidth="1"/>
    <col min="12808" max="12809" width="9" customWidth="1"/>
    <col min="12810" max="12810" width="8.42578125" customWidth="1"/>
    <col min="12811" max="12811" width="8.28515625" customWidth="1"/>
    <col min="12812" max="12812" width="7.140625" customWidth="1"/>
    <col min="13057" max="13057" width="4.7109375" customWidth="1"/>
    <col min="13058" max="13058" width="23" customWidth="1"/>
    <col min="13059" max="13059" width="13.85546875" customWidth="1"/>
    <col min="13060" max="13060" width="19.42578125" customWidth="1"/>
    <col min="13061" max="13061" width="13.7109375" customWidth="1"/>
    <col min="13062" max="13062" width="15.7109375" customWidth="1"/>
    <col min="13063" max="13063" width="9.85546875" customWidth="1"/>
    <col min="13064" max="13065" width="9" customWidth="1"/>
    <col min="13066" max="13066" width="8.42578125" customWidth="1"/>
    <col min="13067" max="13067" width="8.28515625" customWidth="1"/>
    <col min="13068" max="13068" width="7.140625" customWidth="1"/>
    <col min="13313" max="13313" width="4.7109375" customWidth="1"/>
    <col min="13314" max="13314" width="23" customWidth="1"/>
    <col min="13315" max="13315" width="13.85546875" customWidth="1"/>
    <col min="13316" max="13316" width="19.42578125" customWidth="1"/>
    <col min="13317" max="13317" width="13.7109375" customWidth="1"/>
    <col min="13318" max="13318" width="15.7109375" customWidth="1"/>
    <col min="13319" max="13319" width="9.85546875" customWidth="1"/>
    <col min="13320" max="13321" width="9" customWidth="1"/>
    <col min="13322" max="13322" width="8.42578125" customWidth="1"/>
    <col min="13323" max="13323" width="8.28515625" customWidth="1"/>
    <col min="13324" max="13324" width="7.140625" customWidth="1"/>
    <col min="13569" max="13569" width="4.7109375" customWidth="1"/>
    <col min="13570" max="13570" width="23" customWidth="1"/>
    <col min="13571" max="13571" width="13.85546875" customWidth="1"/>
    <col min="13572" max="13572" width="19.42578125" customWidth="1"/>
    <col min="13573" max="13573" width="13.7109375" customWidth="1"/>
    <col min="13574" max="13574" width="15.7109375" customWidth="1"/>
    <col min="13575" max="13575" width="9.85546875" customWidth="1"/>
    <col min="13576" max="13577" width="9" customWidth="1"/>
    <col min="13578" max="13578" width="8.42578125" customWidth="1"/>
    <col min="13579" max="13579" width="8.28515625" customWidth="1"/>
    <col min="13580" max="13580" width="7.140625" customWidth="1"/>
    <col min="13825" max="13825" width="4.7109375" customWidth="1"/>
    <col min="13826" max="13826" width="23" customWidth="1"/>
    <col min="13827" max="13827" width="13.85546875" customWidth="1"/>
    <col min="13828" max="13828" width="19.42578125" customWidth="1"/>
    <col min="13829" max="13829" width="13.7109375" customWidth="1"/>
    <col min="13830" max="13830" width="15.7109375" customWidth="1"/>
    <col min="13831" max="13831" width="9.85546875" customWidth="1"/>
    <col min="13832" max="13833" width="9" customWidth="1"/>
    <col min="13834" max="13834" width="8.42578125" customWidth="1"/>
    <col min="13835" max="13835" width="8.28515625" customWidth="1"/>
    <col min="13836" max="13836" width="7.140625" customWidth="1"/>
    <col min="14081" max="14081" width="4.7109375" customWidth="1"/>
    <col min="14082" max="14082" width="23" customWidth="1"/>
    <col min="14083" max="14083" width="13.85546875" customWidth="1"/>
    <col min="14084" max="14084" width="19.42578125" customWidth="1"/>
    <col min="14085" max="14085" width="13.7109375" customWidth="1"/>
    <col min="14086" max="14086" width="15.7109375" customWidth="1"/>
    <col min="14087" max="14087" width="9.85546875" customWidth="1"/>
    <col min="14088" max="14089" width="9" customWidth="1"/>
    <col min="14090" max="14090" width="8.42578125" customWidth="1"/>
    <col min="14091" max="14091" width="8.28515625" customWidth="1"/>
    <col min="14092" max="14092" width="7.140625" customWidth="1"/>
    <col min="14337" max="14337" width="4.7109375" customWidth="1"/>
    <col min="14338" max="14338" width="23" customWidth="1"/>
    <col min="14339" max="14339" width="13.85546875" customWidth="1"/>
    <col min="14340" max="14340" width="19.42578125" customWidth="1"/>
    <col min="14341" max="14341" width="13.7109375" customWidth="1"/>
    <col min="14342" max="14342" width="15.7109375" customWidth="1"/>
    <col min="14343" max="14343" width="9.85546875" customWidth="1"/>
    <col min="14344" max="14345" width="9" customWidth="1"/>
    <col min="14346" max="14346" width="8.42578125" customWidth="1"/>
    <col min="14347" max="14347" width="8.28515625" customWidth="1"/>
    <col min="14348" max="14348" width="7.140625" customWidth="1"/>
    <col min="14593" max="14593" width="4.7109375" customWidth="1"/>
    <col min="14594" max="14594" width="23" customWidth="1"/>
    <col min="14595" max="14595" width="13.85546875" customWidth="1"/>
    <col min="14596" max="14596" width="19.42578125" customWidth="1"/>
    <col min="14597" max="14597" width="13.7109375" customWidth="1"/>
    <col min="14598" max="14598" width="15.7109375" customWidth="1"/>
    <col min="14599" max="14599" width="9.85546875" customWidth="1"/>
    <col min="14600" max="14601" width="9" customWidth="1"/>
    <col min="14602" max="14602" width="8.42578125" customWidth="1"/>
    <col min="14603" max="14603" width="8.28515625" customWidth="1"/>
    <col min="14604" max="14604" width="7.140625" customWidth="1"/>
    <col min="14849" max="14849" width="4.7109375" customWidth="1"/>
    <col min="14850" max="14850" width="23" customWidth="1"/>
    <col min="14851" max="14851" width="13.85546875" customWidth="1"/>
    <col min="14852" max="14852" width="19.42578125" customWidth="1"/>
    <col min="14853" max="14853" width="13.7109375" customWidth="1"/>
    <col min="14854" max="14854" width="15.7109375" customWidth="1"/>
    <col min="14855" max="14855" width="9.85546875" customWidth="1"/>
    <col min="14856" max="14857" width="9" customWidth="1"/>
    <col min="14858" max="14858" width="8.42578125" customWidth="1"/>
    <col min="14859" max="14859" width="8.28515625" customWidth="1"/>
    <col min="14860" max="14860" width="7.140625" customWidth="1"/>
    <col min="15105" max="15105" width="4.7109375" customWidth="1"/>
    <col min="15106" max="15106" width="23" customWidth="1"/>
    <col min="15107" max="15107" width="13.85546875" customWidth="1"/>
    <col min="15108" max="15108" width="19.42578125" customWidth="1"/>
    <col min="15109" max="15109" width="13.7109375" customWidth="1"/>
    <col min="15110" max="15110" width="15.7109375" customWidth="1"/>
    <col min="15111" max="15111" width="9.85546875" customWidth="1"/>
    <col min="15112" max="15113" width="9" customWidth="1"/>
    <col min="15114" max="15114" width="8.42578125" customWidth="1"/>
    <col min="15115" max="15115" width="8.28515625" customWidth="1"/>
    <col min="15116" max="15116" width="7.140625" customWidth="1"/>
    <col min="15361" max="15361" width="4.7109375" customWidth="1"/>
    <col min="15362" max="15362" width="23" customWidth="1"/>
    <col min="15363" max="15363" width="13.85546875" customWidth="1"/>
    <col min="15364" max="15364" width="19.42578125" customWidth="1"/>
    <col min="15365" max="15365" width="13.7109375" customWidth="1"/>
    <col min="15366" max="15366" width="15.7109375" customWidth="1"/>
    <col min="15367" max="15367" width="9.85546875" customWidth="1"/>
    <col min="15368" max="15369" width="9" customWidth="1"/>
    <col min="15370" max="15370" width="8.42578125" customWidth="1"/>
    <col min="15371" max="15371" width="8.28515625" customWidth="1"/>
    <col min="15372" max="15372" width="7.140625" customWidth="1"/>
    <col min="15617" max="15617" width="4.7109375" customWidth="1"/>
    <col min="15618" max="15618" width="23" customWidth="1"/>
    <col min="15619" max="15619" width="13.85546875" customWidth="1"/>
    <col min="15620" max="15620" width="19.42578125" customWidth="1"/>
    <col min="15621" max="15621" width="13.7109375" customWidth="1"/>
    <col min="15622" max="15622" width="15.7109375" customWidth="1"/>
    <col min="15623" max="15623" width="9.85546875" customWidth="1"/>
    <col min="15624" max="15625" width="9" customWidth="1"/>
    <col min="15626" max="15626" width="8.42578125" customWidth="1"/>
    <col min="15627" max="15627" width="8.28515625" customWidth="1"/>
    <col min="15628" max="15628" width="7.140625" customWidth="1"/>
    <col min="15873" max="15873" width="4.7109375" customWidth="1"/>
    <col min="15874" max="15874" width="23" customWidth="1"/>
    <col min="15875" max="15875" width="13.85546875" customWidth="1"/>
    <col min="15876" max="15876" width="19.42578125" customWidth="1"/>
    <col min="15877" max="15877" width="13.7109375" customWidth="1"/>
    <col min="15878" max="15878" width="15.7109375" customWidth="1"/>
    <col min="15879" max="15879" width="9.85546875" customWidth="1"/>
    <col min="15880" max="15881" width="9" customWidth="1"/>
    <col min="15882" max="15882" width="8.42578125" customWidth="1"/>
    <col min="15883" max="15883" width="8.28515625" customWidth="1"/>
    <col min="15884" max="15884" width="7.140625" customWidth="1"/>
    <col min="16129" max="16129" width="4.7109375" customWidth="1"/>
    <col min="16130" max="16130" width="23" customWidth="1"/>
    <col min="16131" max="16131" width="13.85546875" customWidth="1"/>
    <col min="16132" max="16132" width="19.42578125" customWidth="1"/>
    <col min="16133" max="16133" width="13.7109375" customWidth="1"/>
    <col min="16134" max="16134" width="15.7109375" customWidth="1"/>
    <col min="16135" max="16135" width="9.85546875" customWidth="1"/>
    <col min="16136" max="16137" width="9" customWidth="1"/>
    <col min="16138" max="16138" width="8.42578125" customWidth="1"/>
    <col min="16139" max="16139" width="8.28515625" customWidth="1"/>
    <col min="16140" max="16140" width="7.140625" customWidth="1"/>
  </cols>
  <sheetData>
    <row r="1" spans="1:18">
      <c r="A1" s="78"/>
      <c r="B1" s="79"/>
      <c r="C1" s="80"/>
      <c r="D1" s="80"/>
      <c r="E1" s="80"/>
      <c r="F1" s="80"/>
      <c r="G1" s="78"/>
      <c r="H1" s="81"/>
      <c r="I1" s="82" t="s">
        <v>333</v>
      </c>
      <c r="J1" s="81"/>
      <c r="K1" s="81"/>
      <c r="L1" s="81"/>
      <c r="M1" s="78"/>
      <c r="N1" s="78"/>
    </row>
    <row r="2" spans="1:18">
      <c r="A2" s="78"/>
      <c r="B2" s="79"/>
      <c r="C2" s="80"/>
      <c r="D2" s="80"/>
      <c r="E2" s="80"/>
      <c r="F2" s="80"/>
      <c r="G2" s="78"/>
      <c r="H2" s="81"/>
      <c r="I2" s="81"/>
      <c r="J2" s="81"/>
      <c r="K2" s="81"/>
      <c r="L2" s="81"/>
      <c r="M2" s="78"/>
      <c r="N2" s="78"/>
    </row>
    <row r="3" spans="1:18" ht="18.75" customHeight="1">
      <c r="A3" s="1098" t="s">
        <v>334</v>
      </c>
      <c r="B3" s="1098"/>
      <c r="C3" s="1098"/>
      <c r="D3" s="1098"/>
      <c r="E3" s="1098"/>
      <c r="F3" s="1098"/>
      <c r="G3" s="1098"/>
      <c r="H3" s="1098"/>
      <c r="I3" s="1098"/>
      <c r="J3" s="1098"/>
      <c r="K3" s="1098"/>
      <c r="L3" s="1098"/>
      <c r="M3" s="78"/>
      <c r="N3" s="78"/>
    </row>
    <row r="4" spans="1:18">
      <c r="A4" s="78"/>
      <c r="B4" s="79"/>
      <c r="C4" s="80"/>
      <c r="D4" s="80"/>
      <c r="E4" s="80"/>
      <c r="F4" s="80"/>
      <c r="G4" s="78"/>
      <c r="H4" s="81"/>
      <c r="I4" s="81"/>
      <c r="J4" s="81"/>
      <c r="K4" s="81"/>
      <c r="L4" s="81"/>
      <c r="M4" s="78"/>
      <c r="N4" s="78"/>
    </row>
    <row r="5" spans="1:18" ht="21.75" customHeight="1">
      <c r="A5" s="781" t="s">
        <v>335</v>
      </c>
      <c r="B5" s="1096" t="s">
        <v>336</v>
      </c>
      <c r="C5" s="781" t="s">
        <v>337</v>
      </c>
      <c r="D5" s="781" t="s">
        <v>338</v>
      </c>
      <c r="E5" s="781" t="s">
        <v>339</v>
      </c>
      <c r="F5" s="781" t="s">
        <v>340</v>
      </c>
      <c r="G5" s="781" t="s">
        <v>341</v>
      </c>
      <c r="H5" s="781"/>
      <c r="I5" s="781"/>
      <c r="J5" s="781"/>
      <c r="K5" s="781"/>
      <c r="L5" s="781"/>
    </row>
    <row r="6" spans="1:18" ht="21.75" customHeight="1">
      <c r="A6" s="781"/>
      <c r="B6" s="1096"/>
      <c r="C6" s="781"/>
      <c r="D6" s="781"/>
      <c r="E6" s="781"/>
      <c r="F6" s="781"/>
      <c r="G6" s="83" t="s">
        <v>342</v>
      </c>
      <c r="H6" s="84" t="s">
        <v>8</v>
      </c>
      <c r="I6" s="84" t="s">
        <v>305</v>
      </c>
      <c r="J6" s="84" t="s">
        <v>343</v>
      </c>
      <c r="K6" s="84" t="s">
        <v>11</v>
      </c>
      <c r="L6" s="84" t="s">
        <v>12</v>
      </c>
    </row>
    <row r="7" spans="1:18" ht="11.25" customHeight="1">
      <c r="A7" s="781"/>
      <c r="B7" s="1096" t="s">
        <v>316</v>
      </c>
      <c r="C7" s="781" t="s">
        <v>15</v>
      </c>
      <c r="D7" s="781"/>
      <c r="E7" s="781"/>
      <c r="F7" s="1097"/>
      <c r="G7" s="83" t="s">
        <v>344</v>
      </c>
      <c r="H7" s="84">
        <f t="shared" ref="H7:L14" si="0">H15</f>
        <v>2441812.9800000004</v>
      </c>
      <c r="I7" s="84">
        <f t="shared" si="0"/>
        <v>1671889.35</v>
      </c>
      <c r="J7" s="84">
        <f t="shared" si="0"/>
        <v>427942.80000000005</v>
      </c>
      <c r="K7" s="84">
        <f t="shared" si="0"/>
        <v>272959.82999999996</v>
      </c>
      <c r="L7" s="84">
        <f t="shared" si="0"/>
        <v>69021</v>
      </c>
    </row>
    <row r="8" spans="1:18" ht="11.25" customHeight="1">
      <c r="A8" s="781"/>
      <c r="B8" s="1096"/>
      <c r="C8" s="781"/>
      <c r="D8" s="781"/>
      <c r="E8" s="781"/>
      <c r="F8" s="1097"/>
      <c r="G8" s="83">
        <v>2014</v>
      </c>
      <c r="H8" s="84">
        <f t="shared" si="0"/>
        <v>503776.10000000003</v>
      </c>
      <c r="I8" s="84">
        <f t="shared" si="0"/>
        <v>418855.10000000003</v>
      </c>
      <c r="J8" s="84">
        <f t="shared" si="0"/>
        <v>80000</v>
      </c>
      <c r="K8" s="84">
        <f t="shared" si="0"/>
        <v>0</v>
      </c>
      <c r="L8" s="84">
        <f t="shared" si="0"/>
        <v>4921</v>
      </c>
    </row>
    <row r="9" spans="1:18" ht="11.25" customHeight="1">
      <c r="A9" s="781"/>
      <c r="B9" s="1096"/>
      <c r="C9" s="781"/>
      <c r="D9" s="781"/>
      <c r="E9" s="781"/>
      <c r="F9" s="1097"/>
      <c r="G9" s="83">
        <v>2015</v>
      </c>
      <c r="H9" s="84">
        <f t="shared" si="0"/>
        <v>314637.7</v>
      </c>
      <c r="I9" s="84">
        <f t="shared" si="0"/>
        <v>189637.7</v>
      </c>
      <c r="J9" s="84">
        <f t="shared" si="0"/>
        <v>125000</v>
      </c>
      <c r="K9" s="84">
        <f t="shared" si="0"/>
        <v>0</v>
      </c>
      <c r="L9" s="84">
        <f t="shared" si="0"/>
        <v>0</v>
      </c>
    </row>
    <row r="10" spans="1:18" ht="11.25" customHeight="1">
      <c r="A10" s="781"/>
      <c r="B10" s="1096"/>
      <c r="C10" s="781"/>
      <c r="D10" s="781"/>
      <c r="E10" s="781"/>
      <c r="F10" s="1097"/>
      <c r="G10" s="83">
        <v>2016</v>
      </c>
      <c r="H10" s="84">
        <f t="shared" si="0"/>
        <v>72651.7</v>
      </c>
      <c r="I10" s="84">
        <f t="shared" si="0"/>
        <v>34551.699999999997</v>
      </c>
      <c r="J10" s="84">
        <f t="shared" si="0"/>
        <v>0</v>
      </c>
      <c r="K10" s="84">
        <f t="shared" si="0"/>
        <v>17300</v>
      </c>
      <c r="L10" s="84">
        <f t="shared" si="0"/>
        <v>20800</v>
      </c>
    </row>
    <row r="11" spans="1:18" ht="11.25" customHeight="1">
      <c r="A11" s="781"/>
      <c r="B11" s="1096"/>
      <c r="C11" s="781"/>
      <c r="D11" s="781"/>
      <c r="E11" s="781"/>
      <c r="F11" s="1097"/>
      <c r="G11" s="83">
        <v>2017</v>
      </c>
      <c r="H11" s="84">
        <f t="shared" si="0"/>
        <v>113616.53</v>
      </c>
      <c r="I11" s="84">
        <f t="shared" si="0"/>
        <v>67239.7</v>
      </c>
      <c r="J11" s="84">
        <f t="shared" si="0"/>
        <v>0</v>
      </c>
      <c r="K11" s="84">
        <f t="shared" si="0"/>
        <v>31376.829999999998</v>
      </c>
      <c r="L11" s="84">
        <f t="shared" si="0"/>
        <v>15000</v>
      </c>
      <c r="R11" s="69">
        <f>'4. ОКС'!I456</f>
        <v>0</v>
      </c>
    </row>
    <row r="12" spans="1:18" ht="11.25" customHeight="1">
      <c r="A12" s="781"/>
      <c r="B12" s="1096"/>
      <c r="C12" s="781"/>
      <c r="D12" s="781"/>
      <c r="E12" s="781"/>
      <c r="F12" s="1097"/>
      <c r="G12" s="83">
        <v>2018</v>
      </c>
      <c r="H12" s="84">
        <f t="shared" si="0"/>
        <v>368524.94999999995</v>
      </c>
      <c r="I12" s="84">
        <f t="shared" si="0"/>
        <v>317150.84999999998</v>
      </c>
      <c r="J12" s="84">
        <f t="shared" si="0"/>
        <v>0</v>
      </c>
      <c r="K12" s="84">
        <f t="shared" si="0"/>
        <v>51374.1</v>
      </c>
      <c r="L12" s="84">
        <f t="shared" si="0"/>
        <v>0</v>
      </c>
    </row>
    <row r="13" spans="1:18" ht="11.25" customHeight="1">
      <c r="A13" s="781"/>
      <c r="B13" s="1096"/>
      <c r="C13" s="781"/>
      <c r="D13" s="781"/>
      <c r="E13" s="781"/>
      <c r="F13" s="1097"/>
      <c r="G13" s="83">
        <v>2019</v>
      </c>
      <c r="H13" s="84">
        <f t="shared" si="0"/>
        <v>699241</v>
      </c>
      <c r="I13" s="84">
        <f t="shared" si="0"/>
        <v>449849.69999999995</v>
      </c>
      <c r="J13" s="84">
        <f t="shared" si="0"/>
        <v>111471.4</v>
      </c>
      <c r="K13" s="84">
        <f t="shared" si="0"/>
        <v>109619.9</v>
      </c>
      <c r="L13" s="84">
        <f t="shared" si="0"/>
        <v>28300</v>
      </c>
    </row>
    <row r="14" spans="1:18" ht="11.25" customHeight="1">
      <c r="A14" s="781"/>
      <c r="B14" s="1096"/>
      <c r="C14" s="781"/>
      <c r="D14" s="781"/>
      <c r="E14" s="781"/>
      <c r="F14" s="1097"/>
      <c r="G14" s="83">
        <v>2020</v>
      </c>
      <c r="H14" s="84">
        <f t="shared" si="0"/>
        <v>369365</v>
      </c>
      <c r="I14" s="84">
        <f t="shared" si="0"/>
        <v>194604.6</v>
      </c>
      <c r="J14" s="84">
        <f t="shared" si="0"/>
        <v>111471.4</v>
      </c>
      <c r="K14" s="84">
        <f t="shared" si="0"/>
        <v>63289</v>
      </c>
      <c r="L14" s="84">
        <f t="shared" si="0"/>
        <v>0</v>
      </c>
    </row>
    <row r="15" spans="1:18" ht="11.25" customHeight="1">
      <c r="A15" s="781"/>
      <c r="B15" s="1096" t="s">
        <v>77</v>
      </c>
      <c r="C15" s="822" t="s">
        <v>345</v>
      </c>
      <c r="D15" s="781"/>
      <c r="E15" s="781"/>
      <c r="F15" s="1097"/>
      <c r="G15" s="85" t="s">
        <v>344</v>
      </c>
      <c r="H15" s="86">
        <f t="shared" ref="H15:H29" si="1">I15+J15+K15+L15</f>
        <v>2441812.9800000004</v>
      </c>
      <c r="I15" s="86">
        <f>I16+I17+I18+I19+I20+I21+I22</f>
        <v>1671889.35</v>
      </c>
      <c r="J15" s="86">
        <f>J16+J17+J18+J19+J20+J21+J22</f>
        <v>427942.80000000005</v>
      </c>
      <c r="K15" s="86">
        <f>K16+K17+K18+K19+K20+K21+K22</f>
        <v>272959.82999999996</v>
      </c>
      <c r="L15" s="86">
        <f>L16+L17+L18+L19+L20+L21+L22</f>
        <v>69021</v>
      </c>
    </row>
    <row r="16" spans="1:18" ht="11.25" customHeight="1">
      <c r="A16" s="781"/>
      <c r="B16" s="1096"/>
      <c r="C16" s="822"/>
      <c r="D16" s="781"/>
      <c r="E16" s="781"/>
      <c r="F16" s="1097"/>
      <c r="G16" s="85">
        <v>2014</v>
      </c>
      <c r="H16" s="86">
        <f t="shared" si="1"/>
        <v>503776.10000000003</v>
      </c>
      <c r="I16" s="86">
        <f t="shared" ref="I16:L22" si="2">I24+I33+I41+I50+I59+I68+I77+I85+I93+I101+I109+I117+I125+I134+I142+I150+I158+I166</f>
        <v>418855.10000000003</v>
      </c>
      <c r="J16" s="86">
        <f t="shared" si="2"/>
        <v>80000</v>
      </c>
      <c r="K16" s="86">
        <f t="shared" si="2"/>
        <v>0</v>
      </c>
      <c r="L16" s="86">
        <f t="shared" si="2"/>
        <v>4921</v>
      </c>
    </row>
    <row r="17" spans="1:12" ht="11.25" customHeight="1">
      <c r="A17" s="781"/>
      <c r="B17" s="1096"/>
      <c r="C17" s="822"/>
      <c r="D17" s="781"/>
      <c r="E17" s="781"/>
      <c r="F17" s="1097"/>
      <c r="G17" s="85">
        <v>2015</v>
      </c>
      <c r="H17" s="86">
        <f t="shared" si="1"/>
        <v>314637.7</v>
      </c>
      <c r="I17" s="86">
        <f t="shared" si="2"/>
        <v>189637.7</v>
      </c>
      <c r="J17" s="86">
        <f t="shared" si="2"/>
        <v>125000</v>
      </c>
      <c r="K17" s="86">
        <f t="shared" si="2"/>
        <v>0</v>
      </c>
      <c r="L17" s="86">
        <f t="shared" si="2"/>
        <v>0</v>
      </c>
    </row>
    <row r="18" spans="1:12" ht="11.25" customHeight="1">
      <c r="A18" s="781"/>
      <c r="B18" s="1096"/>
      <c r="C18" s="822"/>
      <c r="D18" s="781"/>
      <c r="E18" s="781"/>
      <c r="F18" s="1097"/>
      <c r="G18" s="85">
        <v>2016</v>
      </c>
      <c r="H18" s="86">
        <f t="shared" si="1"/>
        <v>72651.7</v>
      </c>
      <c r="I18" s="86">
        <f t="shared" si="2"/>
        <v>34551.699999999997</v>
      </c>
      <c r="J18" s="86">
        <f t="shared" si="2"/>
        <v>0</v>
      </c>
      <c r="K18" s="86">
        <f t="shared" si="2"/>
        <v>17300</v>
      </c>
      <c r="L18" s="86">
        <f t="shared" si="2"/>
        <v>20800</v>
      </c>
    </row>
    <row r="19" spans="1:12" ht="11.25" customHeight="1">
      <c r="A19" s="781"/>
      <c r="B19" s="1096"/>
      <c r="C19" s="822"/>
      <c r="D19" s="781"/>
      <c r="E19" s="781"/>
      <c r="F19" s="1097"/>
      <c r="G19" s="85">
        <v>2017</v>
      </c>
      <c r="H19" s="86">
        <f t="shared" si="1"/>
        <v>113616.53</v>
      </c>
      <c r="I19" s="86">
        <f t="shared" si="2"/>
        <v>67239.7</v>
      </c>
      <c r="J19" s="86">
        <f t="shared" si="2"/>
        <v>0</v>
      </c>
      <c r="K19" s="86">
        <f t="shared" si="2"/>
        <v>31376.829999999998</v>
      </c>
      <c r="L19" s="86">
        <f t="shared" si="2"/>
        <v>15000</v>
      </c>
    </row>
    <row r="20" spans="1:12" ht="11.25" customHeight="1">
      <c r="A20" s="781"/>
      <c r="B20" s="1096"/>
      <c r="C20" s="822"/>
      <c r="D20" s="781"/>
      <c r="E20" s="781"/>
      <c r="F20" s="1097"/>
      <c r="G20" s="85">
        <v>2018</v>
      </c>
      <c r="H20" s="86">
        <f t="shared" si="1"/>
        <v>368524.94999999995</v>
      </c>
      <c r="I20" s="86">
        <f t="shared" si="2"/>
        <v>317150.84999999998</v>
      </c>
      <c r="J20" s="86">
        <f t="shared" si="2"/>
        <v>0</v>
      </c>
      <c r="K20" s="86">
        <f t="shared" si="2"/>
        <v>51374.1</v>
      </c>
      <c r="L20" s="86">
        <f t="shared" si="2"/>
        <v>0</v>
      </c>
    </row>
    <row r="21" spans="1:12" ht="11.25" customHeight="1">
      <c r="A21" s="781"/>
      <c r="B21" s="1096"/>
      <c r="C21" s="822"/>
      <c r="D21" s="781"/>
      <c r="E21" s="781"/>
      <c r="F21" s="1097"/>
      <c r="G21" s="85">
        <v>2019</v>
      </c>
      <c r="H21" s="86">
        <f t="shared" si="1"/>
        <v>699241</v>
      </c>
      <c r="I21" s="86">
        <f t="shared" si="2"/>
        <v>449849.69999999995</v>
      </c>
      <c r="J21" s="86">
        <f t="shared" si="2"/>
        <v>111471.4</v>
      </c>
      <c r="K21" s="86">
        <f t="shared" si="2"/>
        <v>109619.9</v>
      </c>
      <c r="L21" s="86">
        <f t="shared" si="2"/>
        <v>28300</v>
      </c>
    </row>
    <row r="22" spans="1:12" ht="11.25" customHeight="1">
      <c r="A22" s="781"/>
      <c r="B22" s="1096"/>
      <c r="C22" s="822"/>
      <c r="D22" s="781"/>
      <c r="E22" s="781"/>
      <c r="F22" s="1097"/>
      <c r="G22" s="85">
        <v>2020</v>
      </c>
      <c r="H22" s="86">
        <f t="shared" si="1"/>
        <v>369365</v>
      </c>
      <c r="I22" s="86">
        <f t="shared" si="2"/>
        <v>194604.6</v>
      </c>
      <c r="J22" s="86">
        <f t="shared" si="2"/>
        <v>111471.4</v>
      </c>
      <c r="K22" s="86">
        <f t="shared" si="2"/>
        <v>63289</v>
      </c>
      <c r="L22" s="86">
        <f t="shared" si="2"/>
        <v>0</v>
      </c>
    </row>
    <row r="23" spans="1:12" ht="11.25" customHeight="1">
      <c r="A23" s="781" t="s">
        <v>16</v>
      </c>
      <c r="B23" s="1096" t="s">
        <v>346</v>
      </c>
      <c r="C23" s="781" t="s">
        <v>89</v>
      </c>
      <c r="D23" s="781" t="s">
        <v>347</v>
      </c>
      <c r="E23" s="781" t="s">
        <v>348</v>
      </c>
      <c r="F23" s="1097" t="s">
        <v>349</v>
      </c>
      <c r="G23" s="83" t="s">
        <v>344</v>
      </c>
      <c r="H23" s="87">
        <f t="shared" si="1"/>
        <v>3488.3</v>
      </c>
      <c r="I23" s="88">
        <f>I30+I29+I28+I27+I26+I25+I24</f>
        <v>3488.3</v>
      </c>
      <c r="J23" s="88">
        <f>J30+J29+J28+J27+J26+J25+J24</f>
        <v>0</v>
      </c>
      <c r="K23" s="88">
        <f>K30+K29+K28+K27+K26+K25+K24</f>
        <v>0</v>
      </c>
      <c r="L23" s="88">
        <f>L30+L29+L28+L27+L26+L25+L24</f>
        <v>0</v>
      </c>
    </row>
    <row r="24" spans="1:12" ht="11.25" customHeight="1">
      <c r="A24" s="781"/>
      <c r="B24" s="1096"/>
      <c r="C24" s="781"/>
      <c r="D24" s="781"/>
      <c r="E24" s="781"/>
      <c r="F24" s="1097"/>
      <c r="G24" s="83">
        <v>2014</v>
      </c>
      <c r="H24" s="87">
        <f t="shared" si="1"/>
        <v>3488.3</v>
      </c>
      <c r="I24" s="88">
        <v>3488.3</v>
      </c>
      <c r="J24" s="87">
        <v>0</v>
      </c>
      <c r="K24" s="87">
        <v>0</v>
      </c>
      <c r="L24" s="87">
        <v>0</v>
      </c>
    </row>
    <row r="25" spans="1:12" ht="11.25" customHeight="1">
      <c r="A25" s="781"/>
      <c r="B25" s="1096"/>
      <c r="C25" s="781"/>
      <c r="D25" s="781"/>
      <c r="E25" s="781"/>
      <c r="F25" s="1097"/>
      <c r="G25" s="83">
        <v>2015</v>
      </c>
      <c r="H25" s="87">
        <f t="shared" si="1"/>
        <v>0</v>
      </c>
      <c r="I25" s="87">
        <v>0</v>
      </c>
      <c r="J25" s="87">
        <v>0</v>
      </c>
      <c r="K25" s="87">
        <v>0</v>
      </c>
      <c r="L25" s="87">
        <v>0</v>
      </c>
    </row>
    <row r="26" spans="1:12" ht="11.25" customHeight="1">
      <c r="A26" s="781"/>
      <c r="B26" s="1096"/>
      <c r="C26" s="781"/>
      <c r="D26" s="781"/>
      <c r="E26" s="781"/>
      <c r="F26" s="1097"/>
      <c r="G26" s="83">
        <v>2016</v>
      </c>
      <c r="H26" s="87">
        <f t="shared" si="1"/>
        <v>0</v>
      </c>
      <c r="I26" s="87">
        <v>0</v>
      </c>
      <c r="J26" s="87">
        <v>0</v>
      </c>
      <c r="K26" s="87">
        <v>0</v>
      </c>
      <c r="L26" s="87">
        <v>0</v>
      </c>
    </row>
    <row r="27" spans="1:12" ht="11.25" customHeight="1">
      <c r="A27" s="781"/>
      <c r="B27" s="1096"/>
      <c r="C27" s="781"/>
      <c r="D27" s="781"/>
      <c r="E27" s="781"/>
      <c r="F27" s="1097"/>
      <c r="G27" s="83">
        <v>2017</v>
      </c>
      <c r="H27" s="87">
        <f t="shared" si="1"/>
        <v>0</v>
      </c>
      <c r="I27" s="87">
        <v>0</v>
      </c>
      <c r="J27" s="87">
        <v>0</v>
      </c>
      <c r="K27" s="87">
        <v>0</v>
      </c>
      <c r="L27" s="87">
        <v>0</v>
      </c>
    </row>
    <row r="28" spans="1:12" ht="11.25" customHeight="1">
      <c r="A28" s="781"/>
      <c r="B28" s="1096"/>
      <c r="C28" s="781"/>
      <c r="D28" s="781"/>
      <c r="E28" s="781"/>
      <c r="F28" s="1097"/>
      <c r="G28" s="83">
        <v>2018</v>
      </c>
      <c r="H28" s="87">
        <f t="shared" si="1"/>
        <v>0</v>
      </c>
      <c r="I28" s="87">
        <v>0</v>
      </c>
      <c r="J28" s="87">
        <v>0</v>
      </c>
      <c r="K28" s="87">
        <v>0</v>
      </c>
      <c r="L28" s="87">
        <v>0</v>
      </c>
    </row>
    <row r="29" spans="1:12" ht="11.25" customHeight="1">
      <c r="A29" s="781"/>
      <c r="B29" s="1096"/>
      <c r="C29" s="781"/>
      <c r="D29" s="781"/>
      <c r="E29" s="781"/>
      <c r="F29" s="1097"/>
      <c r="G29" s="83">
        <v>2019</v>
      </c>
      <c r="H29" s="87">
        <f t="shared" si="1"/>
        <v>0</v>
      </c>
      <c r="I29" s="87">
        <v>0</v>
      </c>
      <c r="J29" s="87">
        <v>0</v>
      </c>
      <c r="K29" s="87">
        <v>0</v>
      </c>
      <c r="L29" s="87">
        <v>0</v>
      </c>
    </row>
    <row r="30" spans="1:12" ht="11.25" customHeight="1">
      <c r="A30" s="781"/>
      <c r="B30" s="1096"/>
      <c r="C30" s="781"/>
      <c r="D30" s="781"/>
      <c r="E30" s="781"/>
      <c r="F30" s="1097"/>
      <c r="G30" s="83">
        <v>2020</v>
      </c>
      <c r="H30" s="87">
        <f>I30+J30+K30+L30</f>
        <v>0</v>
      </c>
      <c r="I30" s="87">
        <v>0</v>
      </c>
      <c r="J30" s="87">
        <v>0</v>
      </c>
      <c r="K30" s="87">
        <v>0</v>
      </c>
      <c r="L30" s="87">
        <v>0</v>
      </c>
    </row>
    <row r="31" spans="1:12" ht="11.25" customHeight="1">
      <c r="A31" s="781" t="s">
        <v>40</v>
      </c>
      <c r="B31" s="1096" t="s">
        <v>350</v>
      </c>
      <c r="C31" s="781" t="s">
        <v>89</v>
      </c>
      <c r="D31" s="781" t="s">
        <v>351</v>
      </c>
      <c r="E31" s="781" t="s">
        <v>352</v>
      </c>
      <c r="F31" s="1097" t="s">
        <v>353</v>
      </c>
      <c r="G31" s="83" t="s">
        <v>354</v>
      </c>
      <c r="H31" s="89">
        <f>I31+J31+K31+L31</f>
        <v>189157.2</v>
      </c>
      <c r="I31" s="89">
        <v>170000</v>
      </c>
      <c r="J31" s="89">
        <v>0</v>
      </c>
      <c r="K31" s="90">
        <v>19157.2</v>
      </c>
      <c r="L31" s="90">
        <v>0</v>
      </c>
    </row>
    <row r="32" spans="1:12" ht="11.25" customHeight="1">
      <c r="A32" s="781"/>
      <c r="B32" s="1096"/>
      <c r="C32" s="781"/>
      <c r="D32" s="781"/>
      <c r="E32" s="781"/>
      <c r="F32" s="1097"/>
      <c r="G32" s="83" t="s">
        <v>344</v>
      </c>
      <c r="H32" s="87">
        <f>I32+J32+K32+L32</f>
        <v>39588.400000000001</v>
      </c>
      <c r="I32" s="88">
        <v>39588.400000000001</v>
      </c>
      <c r="J32" s="88">
        <f>J39+J38+J37+J36+J35+J34+J33</f>
        <v>0</v>
      </c>
      <c r="K32" s="88">
        <f>K39+K38+K37+K36+K35+K34+K33</f>
        <v>0</v>
      </c>
      <c r="L32" s="88">
        <f>L39+L38+L37+L36+L35+L34+L33</f>
        <v>0</v>
      </c>
    </row>
    <row r="33" spans="1:13" ht="11.25" customHeight="1">
      <c r="A33" s="781"/>
      <c r="B33" s="1096"/>
      <c r="C33" s="781"/>
      <c r="D33" s="781"/>
      <c r="E33" s="781"/>
      <c r="F33" s="1097"/>
      <c r="G33" s="83">
        <v>2014</v>
      </c>
      <c r="H33" s="87">
        <f t="shared" ref="H33:H38" si="3">I33+J33+K33+L33</f>
        <v>39588.400000000001</v>
      </c>
      <c r="I33" s="88">
        <v>39588.400000000001</v>
      </c>
      <c r="J33" s="87">
        <v>0</v>
      </c>
      <c r="K33" s="87">
        <v>0</v>
      </c>
      <c r="L33" s="87">
        <v>0</v>
      </c>
    </row>
    <row r="34" spans="1:13" ht="11.25" customHeight="1">
      <c r="A34" s="781"/>
      <c r="B34" s="1096"/>
      <c r="C34" s="781"/>
      <c r="D34" s="781"/>
      <c r="E34" s="781"/>
      <c r="F34" s="1097"/>
      <c r="G34" s="83">
        <v>2015</v>
      </c>
      <c r="H34" s="87">
        <f t="shared" si="3"/>
        <v>0</v>
      </c>
      <c r="I34" s="87">
        <v>0</v>
      </c>
      <c r="J34" s="87">
        <v>0</v>
      </c>
      <c r="K34" s="87">
        <v>0</v>
      </c>
      <c r="L34" s="87">
        <v>0</v>
      </c>
    </row>
    <row r="35" spans="1:13" ht="11.25" customHeight="1">
      <c r="A35" s="781"/>
      <c r="B35" s="1096"/>
      <c r="C35" s="781"/>
      <c r="D35" s="781"/>
      <c r="E35" s="781"/>
      <c r="F35" s="1097"/>
      <c r="G35" s="83">
        <v>2016</v>
      </c>
      <c r="H35" s="87">
        <f t="shared" si="3"/>
        <v>0</v>
      </c>
      <c r="I35" s="87">
        <v>0</v>
      </c>
      <c r="J35" s="87">
        <v>0</v>
      </c>
      <c r="K35" s="87">
        <v>0</v>
      </c>
      <c r="L35" s="87">
        <v>0</v>
      </c>
    </row>
    <row r="36" spans="1:13" ht="11.25" customHeight="1">
      <c r="A36" s="781"/>
      <c r="B36" s="1096"/>
      <c r="C36" s="781"/>
      <c r="D36" s="781"/>
      <c r="E36" s="781"/>
      <c r="F36" s="1097"/>
      <c r="G36" s="83">
        <v>2017</v>
      </c>
      <c r="H36" s="87">
        <f t="shared" si="3"/>
        <v>0</v>
      </c>
      <c r="I36" s="87">
        <v>0</v>
      </c>
      <c r="J36" s="87">
        <v>0</v>
      </c>
      <c r="K36" s="87">
        <v>0</v>
      </c>
      <c r="L36" s="87">
        <v>0</v>
      </c>
    </row>
    <row r="37" spans="1:13" ht="11.25" customHeight="1">
      <c r="A37" s="781"/>
      <c r="B37" s="1096"/>
      <c r="C37" s="781"/>
      <c r="D37" s="781"/>
      <c r="E37" s="781"/>
      <c r="F37" s="1097"/>
      <c r="G37" s="83">
        <v>2018</v>
      </c>
      <c r="H37" s="87">
        <f t="shared" si="3"/>
        <v>0</v>
      </c>
      <c r="I37" s="87">
        <v>0</v>
      </c>
      <c r="J37" s="87">
        <v>0</v>
      </c>
      <c r="K37" s="87">
        <v>0</v>
      </c>
      <c r="L37" s="87">
        <v>0</v>
      </c>
    </row>
    <row r="38" spans="1:13" ht="11.25" customHeight="1">
      <c r="A38" s="781"/>
      <c r="B38" s="1096"/>
      <c r="C38" s="781"/>
      <c r="D38" s="781"/>
      <c r="E38" s="781"/>
      <c r="F38" s="1097"/>
      <c r="G38" s="83">
        <v>2019</v>
      </c>
      <c r="H38" s="87">
        <f t="shared" si="3"/>
        <v>0</v>
      </c>
      <c r="I38" s="87">
        <v>0</v>
      </c>
      <c r="J38" s="87">
        <v>0</v>
      </c>
      <c r="K38" s="87">
        <v>0</v>
      </c>
      <c r="L38" s="87">
        <v>0</v>
      </c>
    </row>
    <row r="39" spans="1:13" ht="11.25" customHeight="1">
      <c r="A39" s="781"/>
      <c r="B39" s="1096"/>
      <c r="C39" s="781"/>
      <c r="D39" s="781"/>
      <c r="E39" s="781"/>
      <c r="F39" s="1097"/>
      <c r="G39" s="83">
        <v>2020</v>
      </c>
      <c r="H39" s="87">
        <f>I39+J39+K39+L39</f>
        <v>0</v>
      </c>
      <c r="I39" s="87">
        <v>0</v>
      </c>
      <c r="J39" s="87">
        <v>0</v>
      </c>
      <c r="K39" s="87">
        <v>0</v>
      </c>
      <c r="L39" s="87">
        <v>0</v>
      </c>
    </row>
    <row r="40" spans="1:13" s="2" customFormat="1" ht="11.25" customHeight="1">
      <c r="A40" s="822" t="s">
        <v>76</v>
      </c>
      <c r="B40" s="886" t="s">
        <v>355</v>
      </c>
      <c r="C40" s="822" t="s">
        <v>89</v>
      </c>
      <c r="D40" s="822" t="s">
        <v>356</v>
      </c>
      <c r="E40" s="822" t="s">
        <v>357</v>
      </c>
      <c r="F40" s="1086" t="s">
        <v>358</v>
      </c>
      <c r="G40" s="85" t="s">
        <v>344</v>
      </c>
      <c r="H40" s="91">
        <f>I40+J40+K40+L40</f>
        <v>452299.1</v>
      </c>
      <c r="I40" s="92">
        <f>I47+I46+I45+I44+I43+I42+I41</f>
        <v>229356.3</v>
      </c>
      <c r="J40" s="92">
        <f>J47+J46+J45+J44+J43+J42+J41</f>
        <v>222942.8</v>
      </c>
      <c r="K40" s="92">
        <f>K47+K46+K45+K44+K43+K42+K41</f>
        <v>0</v>
      </c>
      <c r="L40" s="92">
        <f>L47+L46+L45+L44+L43+L42+L41</f>
        <v>0</v>
      </c>
      <c r="M40" s="3">
        <f>H41+H45+H46+H47</f>
        <v>452299.1</v>
      </c>
    </row>
    <row r="41" spans="1:13" s="2" customFormat="1" ht="11.25" customHeight="1">
      <c r="A41" s="822"/>
      <c r="B41" s="886"/>
      <c r="C41" s="822"/>
      <c r="D41" s="822"/>
      <c r="E41" s="822"/>
      <c r="F41" s="1086"/>
      <c r="G41" s="85">
        <v>2014</v>
      </c>
      <c r="H41" s="91">
        <f t="shared" ref="H41:H46" si="4">I41+J41+K41+L41</f>
        <v>6413.5</v>
      </c>
      <c r="I41" s="92">
        <v>6413.5</v>
      </c>
      <c r="J41" s="91">
        <v>0</v>
      </c>
      <c r="K41" s="91">
        <v>0</v>
      </c>
      <c r="L41" s="91">
        <v>0</v>
      </c>
    </row>
    <row r="42" spans="1:13" s="2" customFormat="1" ht="11.25" customHeight="1">
      <c r="A42" s="822"/>
      <c r="B42" s="886"/>
      <c r="C42" s="822"/>
      <c r="D42" s="822"/>
      <c r="E42" s="822"/>
      <c r="F42" s="1086"/>
      <c r="G42" s="85">
        <v>2015</v>
      </c>
      <c r="H42" s="91">
        <f t="shared" si="4"/>
        <v>0</v>
      </c>
      <c r="I42" s="91">
        <v>0</v>
      </c>
      <c r="J42" s="91">
        <v>0</v>
      </c>
      <c r="K42" s="91">
        <v>0</v>
      </c>
      <c r="L42" s="91">
        <v>0</v>
      </c>
    </row>
    <row r="43" spans="1:13" s="2" customFormat="1" ht="11.25" customHeight="1">
      <c r="A43" s="822"/>
      <c r="B43" s="886"/>
      <c r="C43" s="822"/>
      <c r="D43" s="822"/>
      <c r="E43" s="822"/>
      <c r="F43" s="1086"/>
      <c r="G43" s="85">
        <v>2016</v>
      </c>
      <c r="H43" s="91">
        <f t="shared" si="4"/>
        <v>0</v>
      </c>
      <c r="I43" s="91">
        <f>'[4]8 План18-20-2'!F264</f>
        <v>0</v>
      </c>
      <c r="J43" s="91">
        <f>'[4]8 План18-20-2'!G264</f>
        <v>0</v>
      </c>
      <c r="K43" s="91">
        <f>'[4]8 План18-20-2'!H264</f>
        <v>0</v>
      </c>
      <c r="L43" s="91">
        <f>'[4]8 План18-20-2'!I264</f>
        <v>0</v>
      </c>
    </row>
    <row r="44" spans="1:13" s="2" customFormat="1" ht="11.25" customHeight="1">
      <c r="A44" s="822"/>
      <c r="B44" s="886"/>
      <c r="C44" s="822"/>
      <c r="D44" s="822"/>
      <c r="E44" s="822"/>
      <c r="F44" s="1086"/>
      <c r="G44" s="85">
        <v>2017</v>
      </c>
      <c r="H44" s="91">
        <f t="shared" si="4"/>
        <v>0</v>
      </c>
      <c r="I44" s="91">
        <f>'[4]8 План18-20-2'!F265</f>
        <v>0</v>
      </c>
      <c r="J44" s="91">
        <f>'[4]8 План18-20-2'!G265</f>
        <v>0</v>
      </c>
      <c r="K44" s="91">
        <f>'[4]8 План18-20-2'!H265</f>
        <v>0</v>
      </c>
      <c r="L44" s="91">
        <f>'[4]8 План18-20-2'!I265</f>
        <v>0</v>
      </c>
    </row>
    <row r="45" spans="1:13" s="2" customFormat="1" ht="11.25" customHeight="1">
      <c r="A45" s="822"/>
      <c r="B45" s="886"/>
      <c r="C45" s="822"/>
      <c r="D45" s="822"/>
      <c r="E45" s="822"/>
      <c r="F45" s="1086"/>
      <c r="G45" s="85">
        <v>2018</v>
      </c>
      <c r="H45" s="91">
        <f t="shared" si="4"/>
        <v>40000</v>
      </c>
      <c r="I45" s="91">
        <f>'[4]8 План18-20-2'!F266</f>
        <v>40000</v>
      </c>
      <c r="J45" s="91">
        <f>'[4]8 План18-20-2'!G266</f>
        <v>0</v>
      </c>
      <c r="K45" s="91">
        <f>'[4]8 План18-20-2'!H266</f>
        <v>0</v>
      </c>
      <c r="L45" s="91">
        <f>'[4]8 План18-20-2'!I266</f>
        <v>0</v>
      </c>
    </row>
    <row r="46" spans="1:13" s="2" customFormat="1" ht="11.25" customHeight="1">
      <c r="A46" s="822"/>
      <c r="B46" s="886"/>
      <c r="C46" s="822"/>
      <c r="D46" s="822"/>
      <c r="E46" s="822"/>
      <c r="F46" s="1086"/>
      <c r="G46" s="85">
        <v>2019</v>
      </c>
      <c r="H46" s="91">
        <f t="shared" si="4"/>
        <v>180000</v>
      </c>
      <c r="I46" s="91">
        <f>'[4]8 План18-20-2'!F267</f>
        <v>68528.600000000006</v>
      </c>
      <c r="J46" s="91">
        <f>'[4]8 План18-20-2'!G267</f>
        <v>111471.4</v>
      </c>
      <c r="K46" s="91">
        <f>'[4]8 План18-20-2'!H267</f>
        <v>0</v>
      </c>
      <c r="L46" s="91">
        <f>'[4]8 План18-20-2'!I267</f>
        <v>0</v>
      </c>
    </row>
    <row r="47" spans="1:13" s="2" customFormat="1" ht="11.25" customHeight="1">
      <c r="A47" s="822"/>
      <c r="B47" s="886"/>
      <c r="C47" s="822"/>
      <c r="D47" s="822"/>
      <c r="E47" s="822"/>
      <c r="F47" s="1086"/>
      <c r="G47" s="85">
        <v>2020</v>
      </c>
      <c r="H47" s="91">
        <f>I47+J47+K47+L47</f>
        <v>225885.59999999998</v>
      </c>
      <c r="I47" s="91">
        <f>'[4]8 План18-20-2'!F268</f>
        <v>114414.2</v>
      </c>
      <c r="J47" s="91">
        <f>'[4]8 План18-20-2'!G268</f>
        <v>111471.4</v>
      </c>
      <c r="K47" s="91">
        <f>'[4]8 План18-20-2'!H268</f>
        <v>0</v>
      </c>
      <c r="L47" s="91">
        <f>'[4]8 План18-20-2'!I268</f>
        <v>0</v>
      </c>
    </row>
    <row r="48" spans="1:13" s="2" customFormat="1" ht="11.25" customHeight="1">
      <c r="A48" s="822" t="s">
        <v>129</v>
      </c>
      <c r="B48" s="1089" t="s">
        <v>359</v>
      </c>
      <c r="C48" s="822" t="s">
        <v>85</v>
      </c>
      <c r="D48" s="822" t="s">
        <v>360</v>
      </c>
      <c r="E48" s="822" t="s">
        <v>361</v>
      </c>
      <c r="F48" s="1086" t="s">
        <v>362</v>
      </c>
      <c r="G48" s="85" t="s">
        <v>354</v>
      </c>
      <c r="H48" s="91">
        <f>I48+L48</f>
        <v>7113.7</v>
      </c>
      <c r="I48" s="91">
        <v>5915.9</v>
      </c>
      <c r="J48" s="91">
        <v>0</v>
      </c>
      <c r="K48" s="91">
        <v>0</v>
      </c>
      <c r="L48" s="91">
        <v>1197.8</v>
      </c>
    </row>
    <row r="49" spans="1:12" s="2" customFormat="1" ht="11.25" customHeight="1">
      <c r="A49" s="822"/>
      <c r="B49" s="1090"/>
      <c r="C49" s="822"/>
      <c r="D49" s="822"/>
      <c r="E49" s="822"/>
      <c r="F49" s="1086"/>
      <c r="G49" s="85" t="s">
        <v>344</v>
      </c>
      <c r="H49" s="91">
        <f>I49+J49+K49+L49</f>
        <v>3382</v>
      </c>
      <c r="I49" s="91">
        <v>3382</v>
      </c>
      <c r="J49" s="92">
        <f>J56+J55+J54+J53+J52+J51+J50</f>
        <v>0</v>
      </c>
      <c r="K49" s="92">
        <f>K56+K55+K54+K53+K52+K51+K50</f>
        <v>0</v>
      </c>
      <c r="L49" s="92">
        <f>L56+L55+L54+L53+L52+L51+L50</f>
        <v>0</v>
      </c>
    </row>
    <row r="50" spans="1:12" s="2" customFormat="1" ht="11.25" customHeight="1">
      <c r="A50" s="822"/>
      <c r="B50" s="1090"/>
      <c r="C50" s="822"/>
      <c r="D50" s="822"/>
      <c r="E50" s="822"/>
      <c r="F50" s="1086"/>
      <c r="G50" s="85">
        <v>2014</v>
      </c>
      <c r="H50" s="91">
        <f t="shared" ref="H50:H55" si="5">I50+J50+K50+L50</f>
        <v>3382</v>
      </c>
      <c r="I50" s="91">
        <v>3382</v>
      </c>
      <c r="J50" s="91">
        <v>0</v>
      </c>
      <c r="K50" s="91">
        <v>0</v>
      </c>
      <c r="L50" s="91">
        <v>0</v>
      </c>
    </row>
    <row r="51" spans="1:12" s="2" customFormat="1" ht="11.25" customHeight="1">
      <c r="A51" s="822"/>
      <c r="B51" s="1090"/>
      <c r="C51" s="822"/>
      <c r="D51" s="822"/>
      <c r="E51" s="822"/>
      <c r="F51" s="1086"/>
      <c r="G51" s="85">
        <v>2015</v>
      </c>
      <c r="H51" s="91">
        <f t="shared" si="5"/>
        <v>0</v>
      </c>
      <c r="I51" s="91">
        <v>0</v>
      </c>
      <c r="J51" s="91">
        <v>0</v>
      </c>
      <c r="K51" s="91">
        <v>0</v>
      </c>
      <c r="L51" s="91">
        <v>0</v>
      </c>
    </row>
    <row r="52" spans="1:12" s="2" customFormat="1" ht="11.25" customHeight="1">
      <c r="A52" s="822"/>
      <c r="B52" s="1090"/>
      <c r="C52" s="822"/>
      <c r="D52" s="822"/>
      <c r="E52" s="822"/>
      <c r="F52" s="1086"/>
      <c r="G52" s="85">
        <v>2016</v>
      </c>
      <c r="H52" s="91">
        <f t="shared" si="5"/>
        <v>0</v>
      </c>
      <c r="I52" s="91">
        <v>0</v>
      </c>
      <c r="J52" s="91">
        <v>0</v>
      </c>
      <c r="K52" s="91">
        <v>0</v>
      </c>
      <c r="L52" s="91">
        <v>0</v>
      </c>
    </row>
    <row r="53" spans="1:12" s="2" customFormat="1" ht="11.25" customHeight="1">
      <c r="A53" s="822"/>
      <c r="B53" s="1090"/>
      <c r="C53" s="822"/>
      <c r="D53" s="822"/>
      <c r="E53" s="822"/>
      <c r="F53" s="1086"/>
      <c r="G53" s="85">
        <v>2017</v>
      </c>
      <c r="H53" s="91">
        <f t="shared" si="5"/>
        <v>0</v>
      </c>
      <c r="I53" s="91">
        <v>0</v>
      </c>
      <c r="J53" s="91">
        <v>0</v>
      </c>
      <c r="K53" s="91">
        <v>0</v>
      </c>
      <c r="L53" s="91">
        <v>0</v>
      </c>
    </row>
    <row r="54" spans="1:12" s="2" customFormat="1" ht="11.25" customHeight="1">
      <c r="A54" s="822"/>
      <c r="B54" s="1090"/>
      <c r="C54" s="822"/>
      <c r="D54" s="822"/>
      <c r="E54" s="822"/>
      <c r="F54" s="1086"/>
      <c r="G54" s="85">
        <v>2018</v>
      </c>
      <c r="H54" s="91">
        <f t="shared" si="5"/>
        <v>0</v>
      </c>
      <c r="I54" s="91">
        <v>0</v>
      </c>
      <c r="J54" s="91">
        <v>0</v>
      </c>
      <c r="K54" s="91">
        <v>0</v>
      </c>
      <c r="L54" s="91">
        <v>0</v>
      </c>
    </row>
    <row r="55" spans="1:12" s="2" customFormat="1" ht="11.25" customHeight="1">
      <c r="A55" s="822"/>
      <c r="B55" s="1090"/>
      <c r="C55" s="822"/>
      <c r="D55" s="822"/>
      <c r="E55" s="822"/>
      <c r="F55" s="1086"/>
      <c r="G55" s="85">
        <v>2019</v>
      </c>
      <c r="H55" s="91">
        <f t="shared" si="5"/>
        <v>0</v>
      </c>
      <c r="I55" s="91">
        <v>0</v>
      </c>
      <c r="J55" s="91">
        <v>0</v>
      </c>
      <c r="K55" s="91">
        <v>0</v>
      </c>
      <c r="L55" s="91">
        <v>0</v>
      </c>
    </row>
    <row r="56" spans="1:12" s="2" customFormat="1" ht="11.25" customHeight="1">
      <c r="A56" s="822"/>
      <c r="B56" s="1091"/>
      <c r="C56" s="822"/>
      <c r="D56" s="822"/>
      <c r="E56" s="822"/>
      <c r="F56" s="1086"/>
      <c r="G56" s="85">
        <v>2020</v>
      </c>
      <c r="H56" s="91">
        <f>I56+J56+K56+L56</f>
        <v>0</v>
      </c>
      <c r="I56" s="91">
        <v>0</v>
      </c>
      <c r="J56" s="91">
        <v>0</v>
      </c>
      <c r="K56" s="91">
        <v>0</v>
      </c>
      <c r="L56" s="91">
        <v>0</v>
      </c>
    </row>
    <row r="57" spans="1:12" s="2" customFormat="1" ht="11.25" customHeight="1">
      <c r="A57" s="822" t="s">
        <v>363</v>
      </c>
      <c r="B57" s="886" t="s">
        <v>364</v>
      </c>
      <c r="C57" s="822" t="s">
        <v>89</v>
      </c>
      <c r="D57" s="822" t="s">
        <v>365</v>
      </c>
      <c r="E57" s="822" t="s">
        <v>366</v>
      </c>
      <c r="F57" s="1086" t="s">
        <v>367</v>
      </c>
      <c r="G57" s="85" t="s">
        <v>354</v>
      </c>
      <c r="H57" s="93">
        <f>I57+J57+K57+L57</f>
        <v>72883.199999999997</v>
      </c>
      <c r="I57" s="93">
        <v>63631.9</v>
      </c>
      <c r="J57" s="93">
        <v>9251.2999999999993</v>
      </c>
      <c r="K57" s="93">
        <v>0</v>
      </c>
      <c r="L57" s="93">
        <v>0</v>
      </c>
    </row>
    <row r="58" spans="1:12" s="2" customFormat="1" ht="11.25" customHeight="1">
      <c r="A58" s="822"/>
      <c r="B58" s="886"/>
      <c r="C58" s="822"/>
      <c r="D58" s="822"/>
      <c r="E58" s="822"/>
      <c r="F58" s="1086"/>
      <c r="G58" s="85" t="s">
        <v>344</v>
      </c>
      <c r="H58" s="91">
        <f>I58+J58+K58+L58</f>
        <v>77440.2</v>
      </c>
      <c r="I58" s="86">
        <f>I59+I60+I61+I62+I63+I215+I65</f>
        <v>77440.2</v>
      </c>
      <c r="J58" s="92">
        <f>J65+J64+J63+J62+J61+J60+J59</f>
        <v>0</v>
      </c>
      <c r="K58" s="92">
        <f>K65+K64+K63+K62+K61+K60+K59</f>
        <v>0</v>
      </c>
      <c r="L58" s="92">
        <v>0</v>
      </c>
    </row>
    <row r="59" spans="1:12" s="2" customFormat="1" ht="11.25" customHeight="1">
      <c r="A59" s="822"/>
      <c r="B59" s="886"/>
      <c r="C59" s="822"/>
      <c r="D59" s="822"/>
      <c r="E59" s="822"/>
      <c r="F59" s="1086"/>
      <c r="G59" s="85">
        <v>2014</v>
      </c>
      <c r="H59" s="91">
        <f t="shared" ref="H59:H64" si="6">I59+J59+K59+L59</f>
        <v>6277.5</v>
      </c>
      <c r="I59" s="92">
        <v>6277.5</v>
      </c>
      <c r="J59" s="86">
        <v>0</v>
      </c>
      <c r="K59" s="86">
        <v>0</v>
      </c>
      <c r="L59" s="86">
        <v>0</v>
      </c>
    </row>
    <row r="60" spans="1:12" s="2" customFormat="1" ht="11.25" customHeight="1">
      <c r="A60" s="822"/>
      <c r="B60" s="886"/>
      <c r="C60" s="822"/>
      <c r="D60" s="822"/>
      <c r="E60" s="822"/>
      <c r="F60" s="1086"/>
      <c r="G60" s="85">
        <v>2015</v>
      </c>
      <c r="H60" s="91">
        <f t="shared" si="6"/>
        <v>66364.5</v>
      </c>
      <c r="I60" s="86">
        <v>66364.5</v>
      </c>
      <c r="J60" s="86">
        <v>0</v>
      </c>
      <c r="K60" s="86">
        <v>0</v>
      </c>
      <c r="L60" s="86">
        <v>0</v>
      </c>
    </row>
    <row r="61" spans="1:12" s="2" customFormat="1" ht="11.25" customHeight="1">
      <c r="A61" s="822"/>
      <c r="B61" s="886"/>
      <c r="C61" s="822"/>
      <c r="D61" s="822"/>
      <c r="E61" s="822"/>
      <c r="F61" s="1086"/>
      <c r="G61" s="85">
        <v>2016</v>
      </c>
      <c r="H61" s="91">
        <f t="shared" si="6"/>
        <v>4798.2</v>
      </c>
      <c r="I61" s="86">
        <f>'[4]8 План18-20-2'!F258</f>
        <v>4798.2</v>
      </c>
      <c r="J61" s="86">
        <v>0</v>
      </c>
      <c r="K61" s="86">
        <v>0</v>
      </c>
      <c r="L61" s="86">
        <v>0</v>
      </c>
    </row>
    <row r="62" spans="1:12" s="2" customFormat="1" ht="11.25" customHeight="1">
      <c r="A62" s="822"/>
      <c r="B62" s="886"/>
      <c r="C62" s="822"/>
      <c r="D62" s="822"/>
      <c r="E62" s="822"/>
      <c r="F62" s="1086"/>
      <c r="G62" s="85">
        <v>2017</v>
      </c>
      <c r="H62" s="91">
        <f t="shared" si="6"/>
        <v>0</v>
      </c>
      <c r="I62" s="86">
        <v>0</v>
      </c>
      <c r="J62" s="86">
        <v>0</v>
      </c>
      <c r="K62" s="86">
        <v>0</v>
      </c>
      <c r="L62" s="86">
        <v>0</v>
      </c>
    </row>
    <row r="63" spans="1:12" s="2" customFormat="1" ht="11.25" customHeight="1">
      <c r="A63" s="822"/>
      <c r="B63" s="886"/>
      <c r="C63" s="822"/>
      <c r="D63" s="822"/>
      <c r="E63" s="822"/>
      <c r="F63" s="1086"/>
      <c r="G63" s="85">
        <v>2018</v>
      </c>
      <c r="H63" s="91">
        <f t="shared" si="6"/>
        <v>0</v>
      </c>
      <c r="I63" s="86">
        <v>0</v>
      </c>
      <c r="J63" s="86">
        <v>0</v>
      </c>
      <c r="K63" s="86">
        <v>0</v>
      </c>
      <c r="L63" s="86">
        <v>0</v>
      </c>
    </row>
    <row r="64" spans="1:12" s="2" customFormat="1" ht="11.25" customHeight="1">
      <c r="A64" s="822"/>
      <c r="B64" s="886"/>
      <c r="C64" s="822"/>
      <c r="D64" s="822"/>
      <c r="E64" s="822"/>
      <c r="F64" s="1086"/>
      <c r="G64" s="85">
        <v>2019</v>
      </c>
      <c r="H64" s="91">
        <f t="shared" si="6"/>
        <v>0</v>
      </c>
      <c r="I64" s="86">
        <v>0</v>
      </c>
      <c r="J64" s="86">
        <v>0</v>
      </c>
      <c r="K64" s="86">
        <v>0</v>
      </c>
      <c r="L64" s="86">
        <v>0</v>
      </c>
    </row>
    <row r="65" spans="1:14" s="2" customFormat="1" ht="11.25" customHeight="1">
      <c r="A65" s="822"/>
      <c r="B65" s="886"/>
      <c r="C65" s="822"/>
      <c r="D65" s="822"/>
      <c r="E65" s="822"/>
      <c r="F65" s="1086"/>
      <c r="G65" s="85">
        <v>2020</v>
      </c>
      <c r="H65" s="91">
        <f>I65+J65+K65+L65</f>
        <v>0</v>
      </c>
      <c r="I65" s="86">
        <v>0</v>
      </c>
      <c r="J65" s="86">
        <v>0</v>
      </c>
      <c r="K65" s="86">
        <v>0</v>
      </c>
      <c r="L65" s="86">
        <v>0</v>
      </c>
    </row>
    <row r="66" spans="1:14" s="2" customFormat="1" ht="11.25" customHeight="1">
      <c r="A66" s="822" t="s">
        <v>368</v>
      </c>
      <c r="B66" s="886" t="s">
        <v>369</v>
      </c>
      <c r="C66" s="822" t="s">
        <v>85</v>
      </c>
      <c r="D66" s="822" t="s">
        <v>370</v>
      </c>
      <c r="E66" s="822" t="s">
        <v>371</v>
      </c>
      <c r="F66" s="1086" t="s">
        <v>372</v>
      </c>
      <c r="G66" s="85" t="s">
        <v>354</v>
      </c>
      <c r="H66" s="86">
        <f>I66+J66+K66+L66</f>
        <v>308630.80000000005</v>
      </c>
      <c r="I66" s="86">
        <v>245945.9</v>
      </c>
      <c r="J66" s="86">
        <v>60000</v>
      </c>
      <c r="K66" s="86">
        <v>0</v>
      </c>
      <c r="L66" s="93">
        <v>2684.9</v>
      </c>
      <c r="M66" s="94"/>
      <c r="N66" s="95"/>
    </row>
    <row r="67" spans="1:14" s="2" customFormat="1" ht="11.25" customHeight="1">
      <c r="A67" s="822"/>
      <c r="B67" s="886"/>
      <c r="C67" s="822"/>
      <c r="D67" s="822"/>
      <c r="E67" s="822"/>
      <c r="F67" s="1086"/>
      <c r="G67" s="85" t="s">
        <v>344</v>
      </c>
      <c r="H67" s="91">
        <f>I67+J67+K67+L67</f>
        <v>301335.8</v>
      </c>
      <c r="I67" s="86">
        <f>I68+I69+I70+I71+I72+I225+I74</f>
        <v>125073.2</v>
      </c>
      <c r="J67" s="92">
        <f>J74+J73+J72+J71+J70+J69+J68</f>
        <v>175000</v>
      </c>
      <c r="K67" s="92">
        <f>K74+K73+K72+K71+K70+K69+K68</f>
        <v>0</v>
      </c>
      <c r="L67" s="92">
        <f>L74+L73+L72+L71+L70+L69+L68</f>
        <v>1262.5999999999999</v>
      </c>
      <c r="M67" s="3">
        <f>H68+H69</f>
        <v>301335.8</v>
      </c>
    </row>
    <row r="68" spans="1:14" s="2" customFormat="1" ht="11.25" customHeight="1">
      <c r="A68" s="822"/>
      <c r="B68" s="886"/>
      <c r="C68" s="822"/>
      <c r="D68" s="822"/>
      <c r="E68" s="822"/>
      <c r="F68" s="1086"/>
      <c r="G68" s="85">
        <v>2014</v>
      </c>
      <c r="H68" s="91">
        <f t="shared" ref="H68:H73" si="7">I68+J68+K68+L68</f>
        <v>170362.6</v>
      </c>
      <c r="I68" s="86">
        <v>89100</v>
      </c>
      <c r="J68" s="86">
        <v>80000</v>
      </c>
      <c r="K68" s="86">
        <v>0</v>
      </c>
      <c r="L68" s="86">
        <v>1262.5999999999999</v>
      </c>
    </row>
    <row r="69" spans="1:14" s="2" customFormat="1" ht="11.25" customHeight="1">
      <c r="A69" s="822"/>
      <c r="B69" s="886"/>
      <c r="C69" s="822"/>
      <c r="D69" s="822"/>
      <c r="E69" s="822"/>
      <c r="F69" s="1086"/>
      <c r="G69" s="85">
        <v>2015</v>
      </c>
      <c r="H69" s="91">
        <f t="shared" si="7"/>
        <v>130973.2</v>
      </c>
      <c r="I69" s="86">
        <v>35973.199999999997</v>
      </c>
      <c r="J69" s="86">
        <v>95000</v>
      </c>
      <c r="K69" s="86">
        <v>0</v>
      </c>
      <c r="L69" s="86">
        <v>0</v>
      </c>
    </row>
    <row r="70" spans="1:14" s="2" customFormat="1" ht="11.25" customHeight="1">
      <c r="A70" s="822"/>
      <c r="B70" s="886"/>
      <c r="C70" s="822"/>
      <c r="D70" s="822"/>
      <c r="E70" s="822"/>
      <c r="F70" s="1086"/>
      <c r="G70" s="85">
        <v>2016</v>
      </c>
      <c r="H70" s="91">
        <f t="shared" si="7"/>
        <v>0</v>
      </c>
      <c r="I70" s="86">
        <v>0</v>
      </c>
      <c r="J70" s="86">
        <v>0</v>
      </c>
      <c r="K70" s="86">
        <v>0</v>
      </c>
      <c r="L70" s="86">
        <v>0</v>
      </c>
    </row>
    <row r="71" spans="1:14" s="2" customFormat="1" ht="11.25" customHeight="1">
      <c r="A71" s="822"/>
      <c r="B71" s="886"/>
      <c r="C71" s="822"/>
      <c r="D71" s="822"/>
      <c r="E71" s="822"/>
      <c r="F71" s="1086"/>
      <c r="G71" s="85">
        <v>2017</v>
      </c>
      <c r="H71" s="91">
        <f t="shared" si="7"/>
        <v>0</v>
      </c>
      <c r="I71" s="86">
        <v>0</v>
      </c>
      <c r="J71" s="86">
        <v>0</v>
      </c>
      <c r="K71" s="86">
        <v>0</v>
      </c>
      <c r="L71" s="86">
        <v>0</v>
      </c>
    </row>
    <row r="72" spans="1:14" s="2" customFormat="1" ht="11.25" customHeight="1">
      <c r="A72" s="822"/>
      <c r="B72" s="886"/>
      <c r="C72" s="822"/>
      <c r="D72" s="822"/>
      <c r="E72" s="822"/>
      <c r="F72" s="1086"/>
      <c r="G72" s="85">
        <v>2018</v>
      </c>
      <c r="H72" s="91">
        <f t="shared" si="7"/>
        <v>0</v>
      </c>
      <c r="I72" s="86">
        <v>0</v>
      </c>
      <c r="J72" s="86">
        <v>0</v>
      </c>
      <c r="K72" s="86">
        <v>0</v>
      </c>
      <c r="L72" s="86">
        <v>0</v>
      </c>
    </row>
    <row r="73" spans="1:14" s="2" customFormat="1" ht="11.25" customHeight="1">
      <c r="A73" s="822"/>
      <c r="B73" s="886"/>
      <c r="C73" s="822"/>
      <c r="D73" s="822"/>
      <c r="E73" s="822"/>
      <c r="F73" s="1086"/>
      <c r="G73" s="85">
        <v>2019</v>
      </c>
      <c r="H73" s="91">
        <f t="shared" si="7"/>
        <v>0</v>
      </c>
      <c r="I73" s="86">
        <v>0</v>
      </c>
      <c r="J73" s="86">
        <v>0</v>
      </c>
      <c r="K73" s="86">
        <v>0</v>
      </c>
      <c r="L73" s="86">
        <v>0</v>
      </c>
    </row>
    <row r="74" spans="1:14" s="2" customFormat="1" ht="11.25" customHeight="1">
      <c r="A74" s="822"/>
      <c r="B74" s="886"/>
      <c r="C74" s="822"/>
      <c r="D74" s="822"/>
      <c r="E74" s="822"/>
      <c r="F74" s="1086"/>
      <c r="G74" s="85">
        <v>2020</v>
      </c>
      <c r="H74" s="91">
        <f>I74+J74+K74+L74</f>
        <v>0</v>
      </c>
      <c r="I74" s="86">
        <v>0</v>
      </c>
      <c r="J74" s="86">
        <v>0</v>
      </c>
      <c r="K74" s="86">
        <v>0</v>
      </c>
      <c r="L74" s="86">
        <v>0</v>
      </c>
    </row>
    <row r="75" spans="1:14" s="2" customFormat="1" ht="11.25" customHeight="1">
      <c r="A75" s="822" t="s">
        <v>373</v>
      </c>
      <c r="B75" s="886" t="s">
        <v>374</v>
      </c>
      <c r="C75" s="822" t="s">
        <v>85</v>
      </c>
      <c r="D75" s="822" t="s">
        <v>375</v>
      </c>
      <c r="E75" s="822" t="s">
        <v>376</v>
      </c>
      <c r="F75" s="1086" t="s">
        <v>377</v>
      </c>
      <c r="G75" s="85" t="s">
        <v>354</v>
      </c>
      <c r="H75" s="86">
        <f>I75+J75+K75+L75</f>
        <v>171578.9</v>
      </c>
      <c r="I75" s="86">
        <v>171578.9</v>
      </c>
      <c r="J75" s="86">
        <v>0</v>
      </c>
      <c r="K75" s="86">
        <v>0</v>
      </c>
      <c r="L75" s="86">
        <v>0</v>
      </c>
    </row>
    <row r="76" spans="1:14" s="2" customFormat="1" ht="11.25" customHeight="1">
      <c r="A76" s="822"/>
      <c r="B76" s="886"/>
      <c r="C76" s="822"/>
      <c r="D76" s="822"/>
      <c r="E76" s="822"/>
      <c r="F76" s="1086"/>
      <c r="G76" s="85" t="s">
        <v>344</v>
      </c>
      <c r="H76" s="91">
        <f>I76+J76+K76+L76</f>
        <v>313529.8</v>
      </c>
      <c r="I76" s="86">
        <f>I77+I78+I79+I80+I81+I235+I83</f>
        <v>283529.8</v>
      </c>
      <c r="J76" s="92">
        <f>J83+J82+J81+J80+J79+J78+J77</f>
        <v>30000</v>
      </c>
      <c r="K76" s="92">
        <f>K83+K82+K81+K80+K79+K78+K77</f>
        <v>0</v>
      </c>
      <c r="L76" s="92">
        <f>L83+L82+L81+L80+L79+L78+L77</f>
        <v>0</v>
      </c>
      <c r="M76" s="3">
        <f>H77+H78</f>
        <v>313529.8</v>
      </c>
    </row>
    <row r="77" spans="1:14" s="2" customFormat="1" ht="11.25" customHeight="1">
      <c r="A77" s="822"/>
      <c r="B77" s="886"/>
      <c r="C77" s="822"/>
      <c r="D77" s="822"/>
      <c r="E77" s="822"/>
      <c r="F77" s="1086"/>
      <c r="G77" s="85">
        <v>2014</v>
      </c>
      <c r="H77" s="91">
        <f t="shared" ref="H77:H82" si="8">I77+J77+K77+L77</f>
        <v>249605.5</v>
      </c>
      <c r="I77" s="86">
        <v>249605.5</v>
      </c>
      <c r="J77" s="86">
        <v>0</v>
      </c>
      <c r="K77" s="86">
        <v>0</v>
      </c>
      <c r="L77" s="86">
        <v>0</v>
      </c>
    </row>
    <row r="78" spans="1:14" s="2" customFormat="1" ht="11.25" customHeight="1">
      <c r="A78" s="822"/>
      <c r="B78" s="886"/>
      <c r="C78" s="822"/>
      <c r="D78" s="822"/>
      <c r="E78" s="822"/>
      <c r="F78" s="1086"/>
      <c r="G78" s="85">
        <v>2015</v>
      </c>
      <c r="H78" s="91">
        <f t="shared" si="8"/>
        <v>63924.3</v>
      </c>
      <c r="I78" s="93">
        <v>33924.300000000003</v>
      </c>
      <c r="J78" s="93">
        <v>30000</v>
      </c>
      <c r="K78" s="93">
        <v>0</v>
      </c>
      <c r="L78" s="93">
        <v>0</v>
      </c>
    </row>
    <row r="79" spans="1:14" s="2" customFormat="1" ht="11.25" customHeight="1">
      <c r="A79" s="822"/>
      <c r="B79" s="886"/>
      <c r="C79" s="822"/>
      <c r="D79" s="822"/>
      <c r="E79" s="822"/>
      <c r="F79" s="1086"/>
      <c r="G79" s="85">
        <v>2016</v>
      </c>
      <c r="H79" s="91">
        <f t="shared" si="8"/>
        <v>0</v>
      </c>
      <c r="I79" s="86">
        <v>0</v>
      </c>
      <c r="J79" s="86">
        <v>0</v>
      </c>
      <c r="K79" s="86">
        <v>0</v>
      </c>
      <c r="L79" s="86">
        <v>0</v>
      </c>
    </row>
    <row r="80" spans="1:14" s="2" customFormat="1" ht="11.25" customHeight="1">
      <c r="A80" s="822"/>
      <c r="B80" s="886"/>
      <c r="C80" s="822"/>
      <c r="D80" s="822"/>
      <c r="E80" s="822"/>
      <c r="F80" s="1086"/>
      <c r="G80" s="85">
        <v>2017</v>
      </c>
      <c r="H80" s="91">
        <f t="shared" si="8"/>
        <v>0</v>
      </c>
      <c r="I80" s="86">
        <v>0</v>
      </c>
      <c r="J80" s="86">
        <v>0</v>
      </c>
      <c r="K80" s="86">
        <v>0</v>
      </c>
      <c r="L80" s="86">
        <v>0</v>
      </c>
    </row>
    <row r="81" spans="1:13" s="2" customFormat="1" ht="11.25" customHeight="1">
      <c r="A81" s="822"/>
      <c r="B81" s="886"/>
      <c r="C81" s="822"/>
      <c r="D81" s="822"/>
      <c r="E81" s="822"/>
      <c r="F81" s="1086"/>
      <c r="G81" s="85">
        <v>2018</v>
      </c>
      <c r="H81" s="91">
        <f t="shared" si="8"/>
        <v>0</v>
      </c>
      <c r="I81" s="86">
        <v>0</v>
      </c>
      <c r="J81" s="86">
        <v>0</v>
      </c>
      <c r="K81" s="86">
        <v>0</v>
      </c>
      <c r="L81" s="86">
        <v>0</v>
      </c>
    </row>
    <row r="82" spans="1:13" s="2" customFormat="1" ht="11.25" customHeight="1">
      <c r="A82" s="822"/>
      <c r="B82" s="886"/>
      <c r="C82" s="822"/>
      <c r="D82" s="822"/>
      <c r="E82" s="822"/>
      <c r="F82" s="1086"/>
      <c r="G82" s="85">
        <v>2019</v>
      </c>
      <c r="H82" s="91">
        <f t="shared" si="8"/>
        <v>0</v>
      </c>
      <c r="I82" s="86">
        <v>0</v>
      </c>
      <c r="J82" s="86">
        <v>0</v>
      </c>
      <c r="K82" s="86">
        <v>0</v>
      </c>
      <c r="L82" s="86">
        <v>0</v>
      </c>
    </row>
    <row r="83" spans="1:13" s="2" customFormat="1" ht="11.25" customHeight="1">
      <c r="A83" s="822"/>
      <c r="B83" s="886"/>
      <c r="C83" s="822"/>
      <c r="D83" s="822"/>
      <c r="E83" s="822"/>
      <c r="F83" s="1086"/>
      <c r="G83" s="85">
        <v>2020</v>
      </c>
      <c r="H83" s="91">
        <f>I83+J83+K83+L83</f>
        <v>0</v>
      </c>
      <c r="I83" s="86">
        <v>0</v>
      </c>
      <c r="J83" s="86">
        <v>0</v>
      </c>
      <c r="K83" s="86">
        <v>0</v>
      </c>
      <c r="L83" s="86">
        <v>0</v>
      </c>
    </row>
    <row r="84" spans="1:13" s="2" customFormat="1" ht="11.25" customHeight="1">
      <c r="A84" s="822" t="s">
        <v>378</v>
      </c>
      <c r="B84" s="886" t="s">
        <v>379</v>
      </c>
      <c r="C84" s="822" t="s">
        <v>85</v>
      </c>
      <c r="D84" s="822" t="s">
        <v>380</v>
      </c>
      <c r="E84" s="824" t="s">
        <v>381</v>
      </c>
      <c r="F84" s="1086" t="s">
        <v>382</v>
      </c>
      <c r="G84" s="96" t="s">
        <v>344</v>
      </c>
      <c r="H84" s="91">
        <f>I84+J84+K84+L84</f>
        <v>86057.7</v>
      </c>
      <c r="I84" s="97">
        <f>I85+I86+I87+I88+I89+I245+I91</f>
        <v>84587.4</v>
      </c>
      <c r="J84" s="92">
        <f>J91+J90+J89+J88+J87+J86+J85</f>
        <v>0</v>
      </c>
      <c r="K84" s="92">
        <f>K91+K90+K89+K88+K87+K86+K85</f>
        <v>0</v>
      </c>
      <c r="L84" s="92">
        <f>L91+L90+L89+L88+L87+L86+L85</f>
        <v>1470.3</v>
      </c>
    </row>
    <row r="85" spans="1:13" s="2" customFormat="1" ht="11.25" customHeight="1">
      <c r="A85" s="822"/>
      <c r="B85" s="886"/>
      <c r="C85" s="822"/>
      <c r="D85" s="822"/>
      <c r="E85" s="824"/>
      <c r="F85" s="1086"/>
      <c r="G85" s="85">
        <v>2014</v>
      </c>
      <c r="H85" s="91">
        <f t="shared" ref="H85:H90" si="9">I85+J85+K85+L85</f>
        <v>22470.2</v>
      </c>
      <c r="I85" s="92">
        <v>20999.9</v>
      </c>
      <c r="J85" s="86">
        <v>0</v>
      </c>
      <c r="K85" s="86">
        <v>0</v>
      </c>
      <c r="L85" s="86">
        <v>1470.3</v>
      </c>
      <c r="M85" s="3">
        <f>H85+H86+H87</f>
        <v>86057.7</v>
      </c>
    </row>
    <row r="86" spans="1:13" s="2" customFormat="1" ht="11.25" customHeight="1">
      <c r="A86" s="822"/>
      <c r="B86" s="886"/>
      <c r="C86" s="822"/>
      <c r="D86" s="822"/>
      <c r="E86" s="824"/>
      <c r="F86" s="1086"/>
      <c r="G86" s="85">
        <v>2015</v>
      </c>
      <c r="H86" s="91">
        <f t="shared" si="9"/>
        <v>38000</v>
      </c>
      <c r="I86" s="93">
        <v>38000</v>
      </c>
      <c r="J86" s="93">
        <v>0</v>
      </c>
      <c r="K86" s="93">
        <v>0</v>
      </c>
      <c r="L86" s="93">
        <v>0</v>
      </c>
    </row>
    <row r="87" spans="1:13" s="2" customFormat="1" ht="11.25" customHeight="1">
      <c r="A87" s="822"/>
      <c r="B87" s="886"/>
      <c r="C87" s="822"/>
      <c r="D87" s="822"/>
      <c r="E87" s="824"/>
      <c r="F87" s="1086"/>
      <c r="G87" s="85">
        <v>2016</v>
      </c>
      <c r="H87" s="91">
        <f t="shared" si="9"/>
        <v>25587.5</v>
      </c>
      <c r="I87" s="86">
        <f>'[4]8 План18-20-2'!F228</f>
        <v>25587.5</v>
      </c>
      <c r="J87" s="86">
        <v>0</v>
      </c>
      <c r="K87" s="86">
        <v>0</v>
      </c>
      <c r="L87" s="86">
        <v>0</v>
      </c>
    </row>
    <row r="88" spans="1:13" s="2" customFormat="1" ht="11.25" customHeight="1">
      <c r="A88" s="822"/>
      <c r="B88" s="886"/>
      <c r="C88" s="822"/>
      <c r="D88" s="822"/>
      <c r="E88" s="824"/>
      <c r="F88" s="1086"/>
      <c r="G88" s="85">
        <v>2017</v>
      </c>
      <c r="H88" s="91">
        <f t="shared" si="9"/>
        <v>0</v>
      </c>
      <c r="I88" s="86">
        <v>0</v>
      </c>
      <c r="J88" s="86">
        <v>0</v>
      </c>
      <c r="K88" s="86">
        <v>0</v>
      </c>
      <c r="L88" s="86">
        <v>0</v>
      </c>
    </row>
    <row r="89" spans="1:13" s="2" customFormat="1" ht="11.25" customHeight="1">
      <c r="A89" s="822"/>
      <c r="B89" s="886"/>
      <c r="C89" s="822"/>
      <c r="D89" s="822"/>
      <c r="E89" s="824"/>
      <c r="F89" s="1086"/>
      <c r="G89" s="85">
        <v>2018</v>
      </c>
      <c r="H89" s="91">
        <f t="shared" si="9"/>
        <v>0</v>
      </c>
      <c r="I89" s="86">
        <v>0</v>
      </c>
      <c r="J89" s="86">
        <v>0</v>
      </c>
      <c r="K89" s="86">
        <v>0</v>
      </c>
      <c r="L89" s="86">
        <v>0</v>
      </c>
    </row>
    <row r="90" spans="1:13" s="2" customFormat="1" ht="11.25" customHeight="1">
      <c r="A90" s="822"/>
      <c r="B90" s="886"/>
      <c r="C90" s="822"/>
      <c r="D90" s="822"/>
      <c r="E90" s="824"/>
      <c r="F90" s="1086"/>
      <c r="G90" s="85">
        <v>2019</v>
      </c>
      <c r="H90" s="91">
        <f t="shared" si="9"/>
        <v>0</v>
      </c>
      <c r="I90" s="86">
        <v>0</v>
      </c>
      <c r="J90" s="86">
        <v>0</v>
      </c>
      <c r="K90" s="86">
        <v>0</v>
      </c>
      <c r="L90" s="86">
        <v>0</v>
      </c>
    </row>
    <row r="91" spans="1:13" s="2" customFormat="1" ht="11.25" customHeight="1">
      <c r="A91" s="822"/>
      <c r="B91" s="886"/>
      <c r="C91" s="822"/>
      <c r="D91" s="822"/>
      <c r="E91" s="824"/>
      <c r="F91" s="1086"/>
      <c r="G91" s="85">
        <v>2020</v>
      </c>
      <c r="H91" s="91">
        <f>I91+J91+K91+L91</f>
        <v>0</v>
      </c>
      <c r="I91" s="86">
        <v>0</v>
      </c>
      <c r="J91" s="86">
        <v>0</v>
      </c>
      <c r="K91" s="86">
        <v>0</v>
      </c>
      <c r="L91" s="86">
        <v>0</v>
      </c>
    </row>
    <row r="92" spans="1:13" s="2" customFormat="1" ht="11.25" customHeight="1">
      <c r="A92" s="822" t="s">
        <v>383</v>
      </c>
      <c r="B92" s="1095" t="s">
        <v>384</v>
      </c>
      <c r="C92" s="822" t="s">
        <v>385</v>
      </c>
      <c r="D92" s="822" t="s">
        <v>386</v>
      </c>
      <c r="E92" s="822" t="s">
        <v>387</v>
      </c>
      <c r="F92" s="1086" t="s">
        <v>388</v>
      </c>
      <c r="G92" s="96" t="s">
        <v>344</v>
      </c>
      <c r="H92" s="91">
        <f>I92+J92+K92+L92</f>
        <v>192414</v>
      </c>
      <c r="I92" s="97">
        <f>I93+I94+I95+I96+I97+I98+I99</f>
        <v>101232.7</v>
      </c>
      <c r="J92" s="92">
        <f>J99+J98+J97+J96+J95+J94+J93</f>
        <v>0</v>
      </c>
      <c r="K92" s="97">
        <f>K93+K94+K95+K96+K97+K98+K99</f>
        <v>91181.3</v>
      </c>
      <c r="L92" s="97">
        <f>L93+L94+L95+L96+L97+L265+L99</f>
        <v>0</v>
      </c>
      <c r="M92" s="3">
        <f>H95+H96+H97+H98</f>
        <v>192414</v>
      </c>
    </row>
    <row r="93" spans="1:13" s="2" customFormat="1" ht="11.25" customHeight="1">
      <c r="A93" s="822"/>
      <c r="B93" s="1095"/>
      <c r="C93" s="822"/>
      <c r="D93" s="822"/>
      <c r="E93" s="822"/>
      <c r="F93" s="1086"/>
      <c r="G93" s="85">
        <v>2014</v>
      </c>
      <c r="H93" s="91">
        <f t="shared" ref="H93:H98" si="10">I93+J93+K93+L93</f>
        <v>0</v>
      </c>
      <c r="I93" s="86">
        <v>0</v>
      </c>
      <c r="J93" s="86">
        <v>0</v>
      </c>
      <c r="K93" s="86">
        <v>0</v>
      </c>
      <c r="L93" s="86">
        <v>0</v>
      </c>
    </row>
    <row r="94" spans="1:13" s="2" customFormat="1" ht="11.25" customHeight="1">
      <c r="A94" s="822"/>
      <c r="B94" s="1095"/>
      <c r="C94" s="822"/>
      <c r="D94" s="822"/>
      <c r="E94" s="822"/>
      <c r="F94" s="1086"/>
      <c r="G94" s="85">
        <v>2015</v>
      </c>
      <c r="H94" s="91">
        <f t="shared" si="10"/>
        <v>0</v>
      </c>
      <c r="I94" s="86">
        <v>0</v>
      </c>
      <c r="J94" s="86">
        <v>0</v>
      </c>
      <c r="K94" s="86">
        <v>0</v>
      </c>
      <c r="L94" s="86">
        <v>0</v>
      </c>
    </row>
    <row r="95" spans="1:13" s="2" customFormat="1" ht="11.25" customHeight="1">
      <c r="A95" s="822"/>
      <c r="B95" s="1095"/>
      <c r="C95" s="822"/>
      <c r="D95" s="822"/>
      <c r="E95" s="822"/>
      <c r="F95" s="1086"/>
      <c r="G95" s="85">
        <v>2016</v>
      </c>
      <c r="H95" s="91">
        <f t="shared" si="10"/>
        <v>4600</v>
      </c>
      <c r="I95" s="86">
        <f>'[4]8 План18-20-2'!F246</f>
        <v>2300</v>
      </c>
      <c r="J95" s="86">
        <f>'[4]8 План18-20-2'!G246</f>
        <v>0</v>
      </c>
      <c r="K95" s="86">
        <f>'[4]8 План18-20-2'!H246</f>
        <v>2300</v>
      </c>
      <c r="L95" s="86">
        <f>'[4]8 План18-20-2'!I246</f>
        <v>0</v>
      </c>
    </row>
    <row r="96" spans="1:13" s="2" customFormat="1" ht="11.25" customHeight="1">
      <c r="A96" s="822"/>
      <c r="B96" s="1095"/>
      <c r="C96" s="822"/>
      <c r="D96" s="822"/>
      <c r="E96" s="822"/>
      <c r="F96" s="1086"/>
      <c r="G96" s="85">
        <v>2017</v>
      </c>
      <c r="H96" s="91">
        <f t="shared" si="10"/>
        <v>22593.3</v>
      </c>
      <c r="I96" s="86">
        <f>'[4]8 План18-20-2'!F247</f>
        <v>20000</v>
      </c>
      <c r="J96" s="86">
        <f>'[4]8 План18-20-2'!G247</f>
        <v>0</v>
      </c>
      <c r="K96" s="86">
        <v>2593.3000000000002</v>
      </c>
      <c r="L96" s="86">
        <f>'[4]8 План18-20-2'!I247</f>
        <v>0</v>
      </c>
    </row>
    <row r="97" spans="1:12" s="2" customFormat="1" ht="11.25" customHeight="1">
      <c r="A97" s="822"/>
      <c r="B97" s="1095"/>
      <c r="C97" s="822"/>
      <c r="D97" s="822"/>
      <c r="E97" s="822"/>
      <c r="F97" s="1086"/>
      <c r="G97" s="85">
        <v>2018</v>
      </c>
      <c r="H97" s="91">
        <f t="shared" si="10"/>
        <v>64220.7</v>
      </c>
      <c r="I97" s="86">
        <f>'[4]8 План18-20-2'!F248</f>
        <v>24998.7</v>
      </c>
      <c r="J97" s="86">
        <f>'[4]8 План18-20-2'!G248</f>
        <v>0</v>
      </c>
      <c r="K97" s="86">
        <f>'[4]8 План18-20-2'!H248</f>
        <v>39222</v>
      </c>
      <c r="L97" s="86">
        <f>'[4]8 План18-20-2'!I248</f>
        <v>0</v>
      </c>
    </row>
    <row r="98" spans="1:12" s="2" customFormat="1" ht="11.25" customHeight="1">
      <c r="A98" s="822"/>
      <c r="B98" s="1095"/>
      <c r="C98" s="822"/>
      <c r="D98" s="822"/>
      <c r="E98" s="822"/>
      <c r="F98" s="1086"/>
      <c r="G98" s="85">
        <v>2019</v>
      </c>
      <c r="H98" s="91">
        <f t="shared" si="10"/>
        <v>101000</v>
      </c>
      <c r="I98" s="86">
        <f>'[4]8 План18-20-2'!F249</f>
        <v>53934</v>
      </c>
      <c r="J98" s="86">
        <f>'[4]8 План18-20-2'!G249</f>
        <v>0</v>
      </c>
      <c r="K98" s="86">
        <f>'[4]8 План18-20-2'!H249</f>
        <v>47066</v>
      </c>
      <c r="L98" s="86">
        <f>'[4]8 План18-20-2'!I249</f>
        <v>0</v>
      </c>
    </row>
    <row r="99" spans="1:12" s="2" customFormat="1" ht="11.25" customHeight="1">
      <c r="A99" s="822"/>
      <c r="B99" s="1095"/>
      <c r="C99" s="822"/>
      <c r="D99" s="822"/>
      <c r="E99" s="822"/>
      <c r="F99" s="1086"/>
      <c r="G99" s="85">
        <v>2020</v>
      </c>
      <c r="H99" s="91">
        <f>I99+J99+K99+L99</f>
        <v>0</v>
      </c>
      <c r="I99" s="86">
        <f>'[4]8 План18-20-2'!F250</f>
        <v>0</v>
      </c>
      <c r="J99" s="86">
        <f>'[4]8 План18-20-2'!G250</f>
        <v>0</v>
      </c>
      <c r="K99" s="86">
        <f>'[4]8 План18-20-2'!H250</f>
        <v>0</v>
      </c>
      <c r="L99" s="86">
        <f>'[4]8 План18-20-2'!I250</f>
        <v>0</v>
      </c>
    </row>
    <row r="100" spans="1:12" s="2" customFormat="1" ht="11.25" customHeight="1">
      <c r="A100" s="822" t="s">
        <v>389</v>
      </c>
      <c r="B100" s="886" t="s">
        <v>390</v>
      </c>
      <c r="C100" s="822" t="s">
        <v>85</v>
      </c>
      <c r="D100" s="822" t="s">
        <v>391</v>
      </c>
      <c r="E100" s="822" t="s">
        <v>392</v>
      </c>
      <c r="F100" s="1086" t="s">
        <v>393</v>
      </c>
      <c r="G100" s="96" t="s">
        <v>344</v>
      </c>
      <c r="H100" s="91">
        <f>I100+J100+K100+L100</f>
        <v>17563.8</v>
      </c>
      <c r="I100" s="97">
        <f>I101+I102+I103+I104+I105+I275+I107</f>
        <v>15375.7</v>
      </c>
      <c r="J100" s="92">
        <f>J107+J106+J105+J104+J103+J102+J101</f>
        <v>0</v>
      </c>
      <c r="K100" s="97">
        <f>K101+K102+K103+K104+K105+K275+K107</f>
        <v>0</v>
      </c>
      <c r="L100" s="98">
        <f>L101+L102+L103+L104+L105+L275+L107</f>
        <v>2188.1</v>
      </c>
    </row>
    <row r="101" spans="1:12" s="2" customFormat="1" ht="11.25" customHeight="1">
      <c r="A101" s="822"/>
      <c r="B101" s="886"/>
      <c r="C101" s="822"/>
      <c r="D101" s="822"/>
      <c r="E101" s="822"/>
      <c r="F101" s="1086"/>
      <c r="G101" s="85">
        <v>2014</v>
      </c>
      <c r="H101" s="91">
        <f t="shared" ref="H101:H106" si="11">I101+J101+K101+L101</f>
        <v>2188.1</v>
      </c>
      <c r="I101" s="86">
        <v>0</v>
      </c>
      <c r="J101" s="86">
        <v>0</v>
      </c>
      <c r="K101" s="86">
        <v>0</v>
      </c>
      <c r="L101" s="99">
        <v>2188.1</v>
      </c>
    </row>
    <row r="102" spans="1:12" s="2" customFormat="1" ht="11.25" customHeight="1">
      <c r="A102" s="822"/>
      <c r="B102" s="886"/>
      <c r="C102" s="822"/>
      <c r="D102" s="822"/>
      <c r="E102" s="822"/>
      <c r="F102" s="1086"/>
      <c r="G102" s="85">
        <v>2015</v>
      </c>
      <c r="H102" s="91">
        <f t="shared" si="11"/>
        <v>15375.7</v>
      </c>
      <c r="I102" s="86">
        <v>15375.7</v>
      </c>
      <c r="J102" s="86">
        <v>0</v>
      </c>
      <c r="K102" s="86">
        <v>0</v>
      </c>
      <c r="L102" s="86">
        <v>0</v>
      </c>
    </row>
    <row r="103" spans="1:12" s="2" customFormat="1" ht="11.25" customHeight="1">
      <c r="A103" s="822"/>
      <c r="B103" s="886"/>
      <c r="C103" s="822"/>
      <c r="D103" s="822"/>
      <c r="E103" s="822"/>
      <c r="F103" s="1086"/>
      <c r="G103" s="85">
        <v>2016</v>
      </c>
      <c r="H103" s="91">
        <f t="shared" si="11"/>
        <v>0</v>
      </c>
      <c r="I103" s="86">
        <v>0</v>
      </c>
      <c r="J103" s="86">
        <v>0</v>
      </c>
      <c r="K103" s="86">
        <v>0</v>
      </c>
      <c r="L103" s="86">
        <v>0</v>
      </c>
    </row>
    <row r="104" spans="1:12" s="2" customFormat="1" ht="11.25" customHeight="1">
      <c r="A104" s="822"/>
      <c r="B104" s="886"/>
      <c r="C104" s="822"/>
      <c r="D104" s="822"/>
      <c r="E104" s="822"/>
      <c r="F104" s="1086"/>
      <c r="G104" s="85">
        <v>2017</v>
      </c>
      <c r="H104" s="91">
        <f t="shared" si="11"/>
        <v>0</v>
      </c>
      <c r="I104" s="86">
        <v>0</v>
      </c>
      <c r="J104" s="86">
        <v>0</v>
      </c>
      <c r="K104" s="86">
        <v>0</v>
      </c>
      <c r="L104" s="86">
        <v>0</v>
      </c>
    </row>
    <row r="105" spans="1:12" s="2" customFormat="1" ht="11.25" customHeight="1">
      <c r="A105" s="822"/>
      <c r="B105" s="886"/>
      <c r="C105" s="822"/>
      <c r="D105" s="822"/>
      <c r="E105" s="822"/>
      <c r="F105" s="1086"/>
      <c r="G105" s="85">
        <v>2018</v>
      </c>
      <c r="H105" s="91">
        <f t="shared" si="11"/>
        <v>0</v>
      </c>
      <c r="I105" s="86">
        <v>0</v>
      </c>
      <c r="J105" s="86">
        <v>0</v>
      </c>
      <c r="K105" s="86">
        <v>0</v>
      </c>
      <c r="L105" s="86">
        <v>0</v>
      </c>
    </row>
    <row r="106" spans="1:12" s="2" customFormat="1" ht="11.25" customHeight="1">
      <c r="A106" s="822"/>
      <c r="B106" s="886"/>
      <c r="C106" s="822"/>
      <c r="D106" s="822"/>
      <c r="E106" s="822"/>
      <c r="F106" s="1086"/>
      <c r="G106" s="85">
        <v>2019</v>
      </c>
      <c r="H106" s="91">
        <f t="shared" si="11"/>
        <v>0</v>
      </c>
      <c r="I106" s="86">
        <v>0</v>
      </c>
      <c r="J106" s="86">
        <v>0</v>
      </c>
      <c r="K106" s="86">
        <v>0</v>
      </c>
      <c r="L106" s="86">
        <v>0</v>
      </c>
    </row>
    <row r="107" spans="1:12" s="2" customFormat="1" ht="11.25" customHeight="1">
      <c r="A107" s="822"/>
      <c r="B107" s="886"/>
      <c r="C107" s="822"/>
      <c r="D107" s="822"/>
      <c r="E107" s="822"/>
      <c r="F107" s="1086"/>
      <c r="G107" s="85">
        <v>2020</v>
      </c>
      <c r="H107" s="91">
        <f>I107+J107+K107+L107</f>
        <v>0</v>
      </c>
      <c r="I107" s="86">
        <v>0</v>
      </c>
      <c r="J107" s="86">
        <v>0</v>
      </c>
      <c r="K107" s="86">
        <v>0</v>
      </c>
      <c r="L107" s="86">
        <v>0</v>
      </c>
    </row>
    <row r="108" spans="1:12" s="2" customFormat="1" ht="11.25" customHeight="1">
      <c r="A108" s="822" t="s">
        <v>394</v>
      </c>
      <c r="B108" s="886" t="s">
        <v>395</v>
      </c>
      <c r="C108" s="822" t="s">
        <v>396</v>
      </c>
      <c r="D108" s="822" t="s">
        <v>397</v>
      </c>
      <c r="E108" s="822" t="s">
        <v>398</v>
      </c>
      <c r="F108" s="1086" t="s">
        <v>399</v>
      </c>
      <c r="G108" s="96" t="s">
        <v>344</v>
      </c>
      <c r="H108" s="91">
        <f>I108+J108+K108+L108</f>
        <v>43076.43</v>
      </c>
      <c r="I108" s="97">
        <f>I109+I110+I111+I112+I113+I114+I115</f>
        <v>0</v>
      </c>
      <c r="J108" s="97">
        <f>J109+J110+J111+J112+J113+J292+J115</f>
        <v>0</v>
      </c>
      <c r="K108" s="97">
        <f>K109+K110+K111+K112+K113+K114+K115</f>
        <v>18076.43</v>
      </c>
      <c r="L108" s="97">
        <f>L109+L110+L111+L112+L113+L292+L115</f>
        <v>25000</v>
      </c>
    </row>
    <row r="109" spans="1:12" s="2" customFormat="1" ht="11.25" customHeight="1">
      <c r="A109" s="822"/>
      <c r="B109" s="886"/>
      <c r="C109" s="822"/>
      <c r="D109" s="822"/>
      <c r="E109" s="822"/>
      <c r="F109" s="1086"/>
      <c r="G109" s="85">
        <v>2014</v>
      </c>
      <c r="H109" s="91">
        <f t="shared" ref="H109:H114" si="12">I109+J109+K109+L109</f>
        <v>0</v>
      </c>
      <c r="I109" s="86">
        <v>0</v>
      </c>
      <c r="J109" s="86">
        <v>0</v>
      </c>
      <c r="K109" s="86">
        <v>0</v>
      </c>
      <c r="L109" s="86">
        <v>0</v>
      </c>
    </row>
    <row r="110" spans="1:12" s="2" customFormat="1" ht="11.25" customHeight="1">
      <c r="A110" s="822"/>
      <c r="B110" s="886"/>
      <c r="C110" s="822"/>
      <c r="D110" s="822"/>
      <c r="E110" s="822"/>
      <c r="F110" s="1086"/>
      <c r="G110" s="85">
        <v>2015</v>
      </c>
      <c r="H110" s="91">
        <f t="shared" si="12"/>
        <v>0</v>
      </c>
      <c r="I110" s="86">
        <v>0</v>
      </c>
      <c r="J110" s="86">
        <v>0</v>
      </c>
      <c r="K110" s="86">
        <v>0</v>
      </c>
      <c r="L110" s="86">
        <v>0</v>
      </c>
    </row>
    <row r="111" spans="1:12" s="2" customFormat="1" ht="11.25" customHeight="1">
      <c r="A111" s="822"/>
      <c r="B111" s="886"/>
      <c r="C111" s="822"/>
      <c r="D111" s="822"/>
      <c r="E111" s="822"/>
      <c r="F111" s="1086"/>
      <c r="G111" s="85">
        <v>2016</v>
      </c>
      <c r="H111" s="91">
        <f t="shared" si="12"/>
        <v>25000</v>
      </c>
      <c r="I111" s="86">
        <f>'[4]8 План18-20-2'!F252</f>
        <v>0</v>
      </c>
      <c r="J111" s="86">
        <f>'[4]8 План18-20-2'!G252</f>
        <v>0</v>
      </c>
      <c r="K111" s="86">
        <v>15000</v>
      </c>
      <c r="L111" s="86">
        <f>'[4]8 План18-20-2'!I252</f>
        <v>10000</v>
      </c>
    </row>
    <row r="112" spans="1:12" s="2" customFormat="1" ht="11.25" customHeight="1">
      <c r="A112" s="822"/>
      <c r="B112" s="886"/>
      <c r="C112" s="822"/>
      <c r="D112" s="822"/>
      <c r="E112" s="822"/>
      <c r="F112" s="1086"/>
      <c r="G112" s="85">
        <v>2017</v>
      </c>
      <c r="H112" s="91">
        <f t="shared" si="12"/>
        <v>18076.43</v>
      </c>
      <c r="I112" s="86">
        <f>'[4]8 План18-20-2'!F253</f>
        <v>0</v>
      </c>
      <c r="J112" s="86">
        <f>'[4]8 План18-20-2'!G253</f>
        <v>0</v>
      </c>
      <c r="K112" s="86">
        <v>3076.43</v>
      </c>
      <c r="L112" s="86">
        <f>'[4]8 План18-20-2'!I253</f>
        <v>15000</v>
      </c>
    </row>
    <row r="113" spans="1:12" s="2" customFormat="1" ht="11.25" customHeight="1">
      <c r="A113" s="822"/>
      <c r="B113" s="886"/>
      <c r="C113" s="822"/>
      <c r="D113" s="822"/>
      <c r="E113" s="822"/>
      <c r="F113" s="1086"/>
      <c r="G113" s="85">
        <v>2018</v>
      </c>
      <c r="H113" s="91">
        <f t="shared" si="12"/>
        <v>0</v>
      </c>
      <c r="I113" s="86">
        <f>'[4]8 План18-20-2'!F254</f>
        <v>0</v>
      </c>
      <c r="J113" s="86">
        <f>'[4]8 План18-20-2'!G254</f>
        <v>0</v>
      </c>
      <c r="K113" s="86">
        <f>'[4]8 План18-20-2'!H254</f>
        <v>0</v>
      </c>
      <c r="L113" s="86">
        <f>'[4]8 План18-20-2'!I254</f>
        <v>0</v>
      </c>
    </row>
    <row r="114" spans="1:12" s="2" customFormat="1" ht="11.25" customHeight="1">
      <c r="A114" s="822"/>
      <c r="B114" s="886"/>
      <c r="C114" s="822"/>
      <c r="D114" s="822"/>
      <c r="E114" s="822"/>
      <c r="F114" s="1086"/>
      <c r="G114" s="85">
        <v>2019</v>
      </c>
      <c r="H114" s="91">
        <f t="shared" si="12"/>
        <v>0</v>
      </c>
      <c r="I114" s="86">
        <f>'[4]8 План18-20-2'!F255</f>
        <v>0</v>
      </c>
      <c r="J114" s="86">
        <f>'[4]8 План18-20-2'!G255</f>
        <v>0</v>
      </c>
      <c r="K114" s="86">
        <f>'[4]8 План18-20-2'!H255</f>
        <v>0</v>
      </c>
      <c r="L114" s="86">
        <f>'[4]8 План18-20-2'!I255</f>
        <v>0</v>
      </c>
    </row>
    <row r="115" spans="1:12" s="2" customFormat="1" ht="11.25" customHeight="1">
      <c r="A115" s="822"/>
      <c r="B115" s="886"/>
      <c r="C115" s="822"/>
      <c r="D115" s="822"/>
      <c r="E115" s="822"/>
      <c r="F115" s="1086"/>
      <c r="G115" s="85">
        <v>2020</v>
      </c>
      <c r="H115" s="91">
        <f>I115+J115+K115+L115</f>
        <v>0</v>
      </c>
      <c r="I115" s="86">
        <v>0</v>
      </c>
      <c r="J115" s="86">
        <v>0</v>
      </c>
      <c r="K115" s="86">
        <v>0</v>
      </c>
      <c r="L115" s="86">
        <f>'[2]Пр14. План'!$I$789</f>
        <v>0</v>
      </c>
    </row>
    <row r="116" spans="1:12" s="2" customFormat="1" ht="11.25" customHeight="1">
      <c r="A116" s="822" t="s">
        <v>400</v>
      </c>
      <c r="B116" s="886" t="s">
        <v>401</v>
      </c>
      <c r="C116" s="822" t="s">
        <v>89</v>
      </c>
      <c r="D116" s="822" t="s">
        <v>402</v>
      </c>
      <c r="E116" s="822" t="s">
        <v>331</v>
      </c>
      <c r="F116" s="1086" t="s">
        <v>403</v>
      </c>
      <c r="G116" s="68" t="s">
        <v>344</v>
      </c>
      <c r="H116" s="91">
        <f>I116+J116+K116+L116</f>
        <v>48012.05</v>
      </c>
      <c r="I116" s="86">
        <f>I117+I118+I119+I120+I121+I122+I123</f>
        <v>48012.05</v>
      </c>
      <c r="J116" s="86">
        <f>J117+J118+J119+J120+J121+J300+J123</f>
        <v>0</v>
      </c>
      <c r="K116" s="86">
        <f>K117+K118+K119+K120+K121+K122+K123</f>
        <v>0</v>
      </c>
      <c r="L116" s="86">
        <f>L117+L118+L119+L120+L121+L300+L123</f>
        <v>0</v>
      </c>
    </row>
    <row r="117" spans="1:12" s="2" customFormat="1" ht="11.25" customHeight="1">
      <c r="A117" s="822"/>
      <c r="B117" s="886"/>
      <c r="C117" s="822"/>
      <c r="D117" s="822"/>
      <c r="E117" s="822"/>
      <c r="F117" s="1086"/>
      <c r="G117" s="85">
        <v>2014</v>
      </c>
      <c r="H117" s="91">
        <f t="shared" ref="H117:H122" si="13">I117+J117+K117+L117</f>
        <v>0</v>
      </c>
      <c r="I117" s="86">
        <v>0</v>
      </c>
      <c r="J117" s="86">
        <v>0</v>
      </c>
      <c r="K117" s="86">
        <v>0</v>
      </c>
      <c r="L117" s="86">
        <v>0</v>
      </c>
    </row>
    <row r="118" spans="1:12" s="2" customFormat="1" ht="11.25" customHeight="1">
      <c r="A118" s="822"/>
      <c r="B118" s="886"/>
      <c r="C118" s="822"/>
      <c r="D118" s="822"/>
      <c r="E118" s="822"/>
      <c r="F118" s="1086"/>
      <c r="G118" s="85">
        <v>2015</v>
      </c>
      <c r="H118" s="91">
        <f t="shared" si="13"/>
        <v>0</v>
      </c>
      <c r="I118" s="86">
        <v>0</v>
      </c>
      <c r="J118" s="86">
        <v>0</v>
      </c>
      <c r="K118" s="86">
        <v>0</v>
      </c>
      <c r="L118" s="86">
        <v>0</v>
      </c>
    </row>
    <row r="119" spans="1:12" s="2" customFormat="1" ht="11.25" customHeight="1">
      <c r="A119" s="822"/>
      <c r="B119" s="886"/>
      <c r="C119" s="822"/>
      <c r="D119" s="822"/>
      <c r="E119" s="822"/>
      <c r="F119" s="1086"/>
      <c r="G119" s="85">
        <v>2016</v>
      </c>
      <c r="H119" s="91">
        <f t="shared" si="13"/>
        <v>1866</v>
      </c>
      <c r="I119" s="86">
        <f>'[4]8 План18-20-2'!F240</f>
        <v>1866</v>
      </c>
      <c r="J119" s="86">
        <f>'[4]8 План18-20-2'!G240</f>
        <v>0</v>
      </c>
      <c r="K119" s="86">
        <f>'[4]8 План18-20-2'!H240</f>
        <v>0</v>
      </c>
      <c r="L119" s="86">
        <f>'[4]8 План18-20-2'!I240</f>
        <v>0</v>
      </c>
    </row>
    <row r="120" spans="1:12" s="2" customFormat="1" ht="11.25" customHeight="1">
      <c r="A120" s="822"/>
      <c r="B120" s="886"/>
      <c r="C120" s="822"/>
      <c r="D120" s="822"/>
      <c r="E120" s="822"/>
      <c r="F120" s="1086"/>
      <c r="G120" s="85">
        <v>2017</v>
      </c>
      <c r="H120" s="91">
        <f t="shared" si="13"/>
        <v>99</v>
      </c>
      <c r="I120" s="86">
        <f>'[4]8 План18-20-2'!F241</f>
        <v>99</v>
      </c>
      <c r="J120" s="86">
        <f>'[4]8 План18-20-2'!G241</f>
        <v>0</v>
      </c>
      <c r="K120" s="86">
        <f>'[4]8 План18-20-2'!H241</f>
        <v>0</v>
      </c>
      <c r="L120" s="86">
        <f>'[4]8 План18-20-2'!I241</f>
        <v>0</v>
      </c>
    </row>
    <row r="121" spans="1:12" s="2" customFormat="1" ht="11.25" customHeight="1">
      <c r="A121" s="822"/>
      <c r="B121" s="886"/>
      <c r="C121" s="822"/>
      <c r="D121" s="822"/>
      <c r="E121" s="822"/>
      <c r="F121" s="1086"/>
      <c r="G121" s="85">
        <v>2018</v>
      </c>
      <c r="H121" s="91">
        <f t="shared" si="13"/>
        <v>31489.75</v>
      </c>
      <c r="I121" s="86">
        <f>'[4]8 План18-20-2'!F242</f>
        <v>31489.75</v>
      </c>
      <c r="J121" s="86">
        <f>'[4]8 План18-20-2'!G242</f>
        <v>0</v>
      </c>
      <c r="K121" s="86">
        <f>'[4]8 План18-20-2'!H242</f>
        <v>0</v>
      </c>
      <c r="L121" s="86">
        <f>'[4]8 План18-20-2'!I242</f>
        <v>0</v>
      </c>
    </row>
    <row r="122" spans="1:12" s="2" customFormat="1" ht="11.25" customHeight="1">
      <c r="A122" s="822"/>
      <c r="B122" s="886"/>
      <c r="C122" s="822"/>
      <c r="D122" s="822"/>
      <c r="E122" s="822"/>
      <c r="F122" s="1086"/>
      <c r="G122" s="85">
        <v>2019</v>
      </c>
      <c r="H122" s="91">
        <f t="shared" si="13"/>
        <v>14557.3</v>
      </c>
      <c r="I122" s="86">
        <f>'[4]8 План18-20-2'!F243</f>
        <v>14557.3</v>
      </c>
      <c r="J122" s="86">
        <f>'[4]8 План18-20-2'!G243</f>
        <v>0</v>
      </c>
      <c r="K122" s="86">
        <f>'[4]8 План18-20-2'!H243</f>
        <v>0</v>
      </c>
      <c r="L122" s="86">
        <f>'[4]8 План18-20-2'!I243</f>
        <v>0</v>
      </c>
    </row>
    <row r="123" spans="1:12" s="2" customFormat="1" ht="11.25" customHeight="1">
      <c r="A123" s="822"/>
      <c r="B123" s="886"/>
      <c r="C123" s="822"/>
      <c r="D123" s="822"/>
      <c r="E123" s="822"/>
      <c r="F123" s="1086"/>
      <c r="G123" s="85">
        <v>2020</v>
      </c>
      <c r="H123" s="91">
        <f>I123+J123+K123+L123</f>
        <v>0</v>
      </c>
      <c r="I123" s="86">
        <f>'[4]8 План18-20-2'!F244</f>
        <v>0</v>
      </c>
      <c r="J123" s="86">
        <f>'[4]8 План18-20-2'!G244</f>
        <v>0</v>
      </c>
      <c r="K123" s="86">
        <f>'[4]8 План18-20-2'!H244</f>
        <v>0</v>
      </c>
      <c r="L123" s="86">
        <f>'[4]8 План18-20-2'!I244</f>
        <v>0</v>
      </c>
    </row>
    <row r="124" spans="1:12" s="2" customFormat="1" ht="11.25" customHeight="1">
      <c r="A124" s="822" t="s">
        <v>404</v>
      </c>
      <c r="B124" s="886" t="s">
        <v>306</v>
      </c>
      <c r="C124" s="822" t="s">
        <v>332</v>
      </c>
      <c r="D124" s="822" t="s">
        <v>307</v>
      </c>
      <c r="E124" s="822" t="s">
        <v>405</v>
      </c>
      <c r="F124" s="1086" t="s">
        <v>406</v>
      </c>
      <c r="G124" s="68" t="s">
        <v>344</v>
      </c>
      <c r="H124" s="91">
        <f>I124+J124+K124+L124</f>
        <v>2527.4</v>
      </c>
      <c r="I124" s="86">
        <f>I125+I126+I127+I128+I129+I130+I131</f>
        <v>2527.4</v>
      </c>
      <c r="J124" s="86">
        <f>J125+J126+J127+J128+J129+J300+J131</f>
        <v>0</v>
      </c>
      <c r="K124" s="86">
        <f>K125+K126+K127+K128+K129+K130+K131</f>
        <v>0</v>
      </c>
      <c r="L124" s="86">
        <f>L125+L126+L127+L128+L129+L300+L131</f>
        <v>0</v>
      </c>
    </row>
    <row r="125" spans="1:12" s="2" customFormat="1" ht="11.25" customHeight="1">
      <c r="A125" s="822"/>
      <c r="B125" s="886"/>
      <c r="C125" s="822"/>
      <c r="D125" s="822"/>
      <c r="E125" s="822"/>
      <c r="F125" s="1086"/>
      <c r="G125" s="85">
        <v>2014</v>
      </c>
      <c r="H125" s="91">
        <f t="shared" ref="H125:H130" si="14">I125+J125+K125+L125</f>
        <v>0</v>
      </c>
      <c r="I125" s="86">
        <v>0</v>
      </c>
      <c r="J125" s="86">
        <v>0</v>
      </c>
      <c r="K125" s="86">
        <v>0</v>
      </c>
      <c r="L125" s="86">
        <v>0</v>
      </c>
    </row>
    <row r="126" spans="1:12" s="2" customFormat="1" ht="11.25" customHeight="1">
      <c r="A126" s="822"/>
      <c r="B126" s="886"/>
      <c r="C126" s="822"/>
      <c r="D126" s="822"/>
      <c r="E126" s="822"/>
      <c r="F126" s="1086"/>
      <c r="G126" s="85">
        <v>2015</v>
      </c>
      <c r="H126" s="91">
        <f t="shared" si="14"/>
        <v>0</v>
      </c>
      <c r="I126" s="86">
        <v>0</v>
      </c>
      <c r="J126" s="86">
        <v>0</v>
      </c>
      <c r="K126" s="86">
        <v>0</v>
      </c>
      <c r="L126" s="86">
        <v>0</v>
      </c>
    </row>
    <row r="127" spans="1:12" s="2" customFormat="1" ht="11.25" customHeight="1">
      <c r="A127" s="822"/>
      <c r="B127" s="886"/>
      <c r="C127" s="822"/>
      <c r="D127" s="822"/>
      <c r="E127" s="822"/>
      <c r="F127" s="1086"/>
      <c r="G127" s="85">
        <v>2016</v>
      </c>
      <c r="H127" s="91">
        <f t="shared" si="14"/>
        <v>0</v>
      </c>
      <c r="I127" s="86">
        <f>'[4]8 План18-20-2'!F288</f>
        <v>0</v>
      </c>
      <c r="J127" s="86">
        <f>'[4]8 План18-20-2'!G288</f>
        <v>0</v>
      </c>
      <c r="K127" s="86">
        <f>'[4]8 План18-20-2'!H288</f>
        <v>0</v>
      </c>
      <c r="L127" s="86">
        <f>'[4]8 План18-20-2'!I288</f>
        <v>0</v>
      </c>
    </row>
    <row r="128" spans="1:12" s="2" customFormat="1" ht="11.25" customHeight="1">
      <c r="A128" s="822"/>
      <c r="B128" s="886"/>
      <c r="C128" s="822"/>
      <c r="D128" s="822"/>
      <c r="E128" s="822"/>
      <c r="F128" s="1086"/>
      <c r="G128" s="85">
        <v>2017</v>
      </c>
      <c r="H128" s="91">
        <f t="shared" si="14"/>
        <v>0</v>
      </c>
      <c r="I128" s="86">
        <f>'[4]8 План18-20-2'!F289</f>
        <v>0</v>
      </c>
      <c r="J128" s="86">
        <f>'[4]8 План18-20-2'!G289</f>
        <v>0</v>
      </c>
      <c r="K128" s="86">
        <f>'[4]8 План18-20-2'!H289</f>
        <v>0</v>
      </c>
      <c r="L128" s="86">
        <f>'[4]8 План18-20-2'!I289</f>
        <v>0</v>
      </c>
    </row>
    <row r="129" spans="1:13" s="2" customFormat="1" ht="11.25" customHeight="1">
      <c r="A129" s="822"/>
      <c r="B129" s="886"/>
      <c r="C129" s="822"/>
      <c r="D129" s="822"/>
      <c r="E129" s="822"/>
      <c r="F129" s="1086"/>
      <c r="G129" s="85">
        <v>2018</v>
      </c>
      <c r="H129" s="91">
        <f t="shared" si="14"/>
        <v>2527.4</v>
      </c>
      <c r="I129" s="86">
        <f>'[4]8 План18-20-2'!F290</f>
        <v>2527.4</v>
      </c>
      <c r="J129" s="86">
        <f>'[4]8 План18-20-2'!G290</f>
        <v>0</v>
      </c>
      <c r="K129" s="86">
        <f>'[4]8 План18-20-2'!H290</f>
        <v>0</v>
      </c>
      <c r="L129" s="86">
        <f>'[4]8 План18-20-2'!I290</f>
        <v>0</v>
      </c>
    </row>
    <row r="130" spans="1:13" s="2" customFormat="1" ht="11.25" customHeight="1">
      <c r="A130" s="822"/>
      <c r="B130" s="886"/>
      <c r="C130" s="822"/>
      <c r="D130" s="822"/>
      <c r="E130" s="822"/>
      <c r="F130" s="1086"/>
      <c r="G130" s="85">
        <v>2019</v>
      </c>
      <c r="H130" s="91">
        <f t="shared" si="14"/>
        <v>0</v>
      </c>
      <c r="I130" s="86">
        <f>'[4]8 План18-20-2'!F291</f>
        <v>0</v>
      </c>
      <c r="J130" s="86">
        <f>'[4]8 План18-20-2'!G291</f>
        <v>0</v>
      </c>
      <c r="K130" s="86">
        <f>'[4]8 План18-20-2'!H291</f>
        <v>0</v>
      </c>
      <c r="L130" s="86">
        <f>'[4]8 План18-20-2'!I291</f>
        <v>0</v>
      </c>
    </row>
    <row r="131" spans="1:13" s="2" customFormat="1" ht="11.25" customHeight="1">
      <c r="A131" s="822"/>
      <c r="B131" s="886"/>
      <c r="C131" s="822"/>
      <c r="D131" s="822"/>
      <c r="E131" s="822"/>
      <c r="F131" s="1086"/>
      <c r="G131" s="85">
        <v>2020</v>
      </c>
      <c r="H131" s="91">
        <f>I131+J131+K131+L131</f>
        <v>0</v>
      </c>
      <c r="I131" s="86">
        <f>'[4]8 План18-20-2'!F292</f>
        <v>0</v>
      </c>
      <c r="J131" s="86">
        <f>'[4]8 План18-20-2'!G292</f>
        <v>0</v>
      </c>
      <c r="K131" s="86">
        <f>'[4]8 План18-20-2'!H292</f>
        <v>0</v>
      </c>
      <c r="L131" s="86">
        <f>'[4]8 План18-20-2'!I292</f>
        <v>0</v>
      </c>
    </row>
    <row r="132" spans="1:13" s="2" customFormat="1" ht="11.25" customHeight="1">
      <c r="A132" s="1087" t="s">
        <v>407</v>
      </c>
      <c r="B132" s="1089" t="s">
        <v>408</v>
      </c>
      <c r="C132" s="1087" t="s">
        <v>409</v>
      </c>
      <c r="D132" s="1087" t="s">
        <v>410</v>
      </c>
      <c r="E132" s="1087" t="s">
        <v>411</v>
      </c>
      <c r="F132" s="1092" t="s">
        <v>412</v>
      </c>
      <c r="G132" s="85" t="s">
        <v>354</v>
      </c>
      <c r="H132" s="86">
        <f>I132+J132+K132+L132</f>
        <v>166</v>
      </c>
      <c r="I132" s="86">
        <v>0</v>
      </c>
      <c r="J132" s="86">
        <v>0</v>
      </c>
      <c r="K132" s="100">
        <v>166</v>
      </c>
      <c r="L132" s="86">
        <v>0</v>
      </c>
    </row>
    <row r="133" spans="1:13" s="2" customFormat="1" ht="11.25" customHeight="1">
      <c r="A133" s="1088"/>
      <c r="B133" s="1090"/>
      <c r="C133" s="1088"/>
      <c r="D133" s="1088"/>
      <c r="E133" s="1088"/>
      <c r="F133" s="1093"/>
      <c r="G133" s="68" t="s">
        <v>344</v>
      </c>
      <c r="H133" s="91">
        <f>I133+J133+K133+L133</f>
        <v>18779.400000000001</v>
      </c>
      <c r="I133" s="86">
        <f>I134+I135+I136+I137+I138+I139+I140</f>
        <v>17840.400000000001</v>
      </c>
      <c r="J133" s="86">
        <f>J134+J135+J136+J137+J138+J308+J140</f>
        <v>0</v>
      </c>
      <c r="K133" s="86">
        <f>K134+K135+K136+K137+K138+K139+K140</f>
        <v>939</v>
      </c>
      <c r="L133" s="86">
        <f>L134+L135+L136+L137+L138+L308+L140</f>
        <v>0</v>
      </c>
    </row>
    <row r="134" spans="1:13" s="2" customFormat="1" ht="11.25" customHeight="1">
      <c r="A134" s="1088"/>
      <c r="B134" s="1090"/>
      <c r="C134" s="1088"/>
      <c r="D134" s="1088"/>
      <c r="E134" s="1088"/>
      <c r="F134" s="1093"/>
      <c r="G134" s="85">
        <v>2014</v>
      </c>
      <c r="H134" s="91">
        <f t="shared" ref="H134:H139" si="15">I134+J134+K134+L134</f>
        <v>0</v>
      </c>
      <c r="I134" s="86">
        <v>0</v>
      </c>
      <c r="J134" s="86">
        <v>0</v>
      </c>
      <c r="K134" s="86">
        <v>0</v>
      </c>
      <c r="L134" s="86">
        <v>0</v>
      </c>
    </row>
    <row r="135" spans="1:13" s="2" customFormat="1" ht="11.25" customHeight="1">
      <c r="A135" s="1088"/>
      <c r="B135" s="1090"/>
      <c r="C135" s="1088"/>
      <c r="D135" s="1088"/>
      <c r="E135" s="1088"/>
      <c r="F135" s="1093"/>
      <c r="G135" s="85">
        <v>2015</v>
      </c>
      <c r="H135" s="91">
        <f t="shared" si="15"/>
        <v>0</v>
      </c>
      <c r="I135" s="86">
        <v>0</v>
      </c>
      <c r="J135" s="86">
        <v>0</v>
      </c>
      <c r="K135" s="86">
        <v>0</v>
      </c>
      <c r="L135" s="86">
        <v>0</v>
      </c>
    </row>
    <row r="136" spans="1:13" s="2" customFormat="1" ht="11.25" customHeight="1">
      <c r="A136" s="1088"/>
      <c r="B136" s="1090"/>
      <c r="C136" s="1088"/>
      <c r="D136" s="1088"/>
      <c r="E136" s="1088"/>
      <c r="F136" s="1093"/>
      <c r="G136" s="85">
        <v>2016</v>
      </c>
      <c r="H136" s="91">
        <f t="shared" si="15"/>
        <v>0</v>
      </c>
      <c r="I136" s="86">
        <f>'[4]8 План18-20-2'!F294</f>
        <v>0</v>
      </c>
      <c r="J136" s="86">
        <f>'[4]8 План18-20-2'!G294</f>
        <v>0</v>
      </c>
      <c r="K136" s="86">
        <f>'[4]8 План18-20-2'!H294</f>
        <v>0</v>
      </c>
      <c r="L136" s="86">
        <f>'[4]8 План18-20-2'!I294</f>
        <v>0</v>
      </c>
    </row>
    <row r="137" spans="1:13" s="2" customFormat="1" ht="11.25" customHeight="1">
      <c r="A137" s="1088"/>
      <c r="B137" s="1090"/>
      <c r="C137" s="1088"/>
      <c r="D137" s="1088"/>
      <c r="E137" s="1088"/>
      <c r="F137" s="1093"/>
      <c r="G137" s="85">
        <v>2017</v>
      </c>
      <c r="H137" s="91">
        <f t="shared" si="15"/>
        <v>0</v>
      </c>
      <c r="I137" s="86">
        <f>'[4]8 План18-20-2'!F295</f>
        <v>0</v>
      </c>
      <c r="J137" s="86">
        <f>'[4]8 План18-20-2'!G295</f>
        <v>0</v>
      </c>
      <c r="K137" s="86">
        <f>'[4]8 План18-20-2'!H295</f>
        <v>0</v>
      </c>
      <c r="L137" s="86">
        <f>'[4]8 План18-20-2'!I295</f>
        <v>0</v>
      </c>
    </row>
    <row r="138" spans="1:13" s="2" customFormat="1" ht="11.25" customHeight="1">
      <c r="A138" s="1088"/>
      <c r="B138" s="1090"/>
      <c r="C138" s="1088"/>
      <c r="D138" s="1088"/>
      <c r="E138" s="1088"/>
      <c r="F138" s="1093"/>
      <c r="G138" s="85">
        <v>2018</v>
      </c>
      <c r="H138" s="91">
        <f t="shared" si="15"/>
        <v>0</v>
      </c>
      <c r="I138" s="86">
        <f>'[4]8 План18-20-2'!F296</f>
        <v>0</v>
      </c>
      <c r="J138" s="86">
        <f>'[4]8 План18-20-2'!G296</f>
        <v>0</v>
      </c>
      <c r="K138" s="86">
        <f>'[4]8 План18-20-2'!H296</f>
        <v>0</v>
      </c>
      <c r="L138" s="86">
        <f>'[4]8 План18-20-2'!I296</f>
        <v>0</v>
      </c>
    </row>
    <row r="139" spans="1:13" s="2" customFormat="1" ht="11.25" customHeight="1">
      <c r="A139" s="1088"/>
      <c r="B139" s="1090"/>
      <c r="C139" s="1088"/>
      <c r="D139" s="1088"/>
      <c r="E139" s="1088"/>
      <c r="F139" s="1093"/>
      <c r="G139" s="85">
        <v>2019</v>
      </c>
      <c r="H139" s="91">
        <f t="shared" si="15"/>
        <v>0</v>
      </c>
      <c r="I139" s="86">
        <f>'[4]8 План18-20-2'!F297</f>
        <v>0</v>
      </c>
      <c r="J139" s="86">
        <f>'[4]8 План18-20-2'!G297</f>
        <v>0</v>
      </c>
      <c r="K139" s="86">
        <f>'[4]8 План18-20-2'!H297</f>
        <v>0</v>
      </c>
      <c r="L139" s="86">
        <f>'[4]8 План18-20-2'!I297</f>
        <v>0</v>
      </c>
    </row>
    <row r="140" spans="1:13" s="2" customFormat="1" ht="11.25" customHeight="1">
      <c r="A140" s="821"/>
      <c r="B140" s="1091"/>
      <c r="C140" s="821"/>
      <c r="D140" s="821"/>
      <c r="E140" s="821"/>
      <c r="F140" s="1094"/>
      <c r="G140" s="85">
        <v>2020</v>
      </c>
      <c r="H140" s="91">
        <f>I140+J140+K140+L140</f>
        <v>18779.400000000001</v>
      </c>
      <c r="I140" s="86">
        <f>'[4]8 План18-20-2'!F298</f>
        <v>17840.400000000001</v>
      </c>
      <c r="J140" s="86">
        <f>'[4]8 План18-20-2'!G298</f>
        <v>0</v>
      </c>
      <c r="K140" s="86">
        <f>'[4]8 План18-20-2'!H298</f>
        <v>939</v>
      </c>
      <c r="L140" s="86">
        <f>'[4]8 План18-20-2'!I298</f>
        <v>0</v>
      </c>
    </row>
    <row r="141" spans="1:13" s="2" customFormat="1" ht="11.25" customHeight="1">
      <c r="A141" s="822" t="s">
        <v>413</v>
      </c>
      <c r="B141" s="886" t="s">
        <v>308</v>
      </c>
      <c r="C141" s="822" t="s">
        <v>414</v>
      </c>
      <c r="D141" s="822" t="s">
        <v>415</v>
      </c>
      <c r="E141" s="822" t="s">
        <v>416</v>
      </c>
      <c r="F141" s="1086" t="s">
        <v>417</v>
      </c>
      <c r="G141" s="68" t="s">
        <v>344</v>
      </c>
      <c r="H141" s="91">
        <f>I141+J141+K141+L141</f>
        <v>532800</v>
      </c>
      <c r="I141" s="93">
        <f>I142+I143+I144+I145+I146+I147+I148</f>
        <v>491586.9</v>
      </c>
      <c r="J141" s="86">
        <f>J142+J143+J144+J145+J146+J308+J148</f>
        <v>0</v>
      </c>
      <c r="K141" s="86">
        <f>K142+K143+K144+K145+K146+K147+K148</f>
        <v>30413.1</v>
      </c>
      <c r="L141" s="86">
        <f>L142+L143+L144+L145+L146+L308+L148</f>
        <v>10800</v>
      </c>
      <c r="M141" s="3">
        <f>H144+H145+H146+H147</f>
        <v>532800</v>
      </c>
    </row>
    <row r="142" spans="1:13" s="2" customFormat="1" ht="11.25" customHeight="1">
      <c r="A142" s="822"/>
      <c r="B142" s="886"/>
      <c r="C142" s="822"/>
      <c r="D142" s="822"/>
      <c r="E142" s="822"/>
      <c r="F142" s="1086"/>
      <c r="G142" s="85">
        <v>2014</v>
      </c>
      <c r="H142" s="91">
        <f t="shared" ref="H142:H147" si="16">I142+J142+K142+L142</f>
        <v>0</v>
      </c>
      <c r="I142" s="86">
        <v>0</v>
      </c>
      <c r="J142" s="86">
        <v>0</v>
      </c>
      <c r="K142" s="86">
        <v>0</v>
      </c>
      <c r="L142" s="86">
        <v>0</v>
      </c>
    </row>
    <row r="143" spans="1:13" s="2" customFormat="1" ht="11.25" customHeight="1">
      <c r="A143" s="822"/>
      <c r="B143" s="886"/>
      <c r="C143" s="822"/>
      <c r="D143" s="822"/>
      <c r="E143" s="822"/>
      <c r="F143" s="1086"/>
      <c r="G143" s="85">
        <v>2015</v>
      </c>
      <c r="H143" s="91">
        <f t="shared" si="16"/>
        <v>0</v>
      </c>
      <c r="I143" s="86">
        <v>0</v>
      </c>
      <c r="J143" s="86">
        <v>0</v>
      </c>
      <c r="K143" s="86">
        <v>0</v>
      </c>
      <c r="L143" s="86">
        <v>0</v>
      </c>
    </row>
    <row r="144" spans="1:13" s="2" customFormat="1" ht="11.25" customHeight="1">
      <c r="A144" s="822"/>
      <c r="B144" s="886"/>
      <c r="C144" s="822"/>
      <c r="D144" s="822"/>
      <c r="E144" s="822"/>
      <c r="F144" s="1086"/>
      <c r="G144" s="85">
        <v>2016</v>
      </c>
      <c r="H144" s="91">
        <f t="shared" si="16"/>
        <v>10800</v>
      </c>
      <c r="I144" s="86">
        <f>'[4]8 План18-20-2'!F270</f>
        <v>0</v>
      </c>
      <c r="J144" s="86">
        <f>'[4]8 План18-20-2'!G270</f>
        <v>0</v>
      </c>
      <c r="K144" s="86">
        <f>'[4]8 План18-20-2'!H270</f>
        <v>0</v>
      </c>
      <c r="L144" s="86">
        <f>'[4]8 План18-20-2'!I270</f>
        <v>10800</v>
      </c>
    </row>
    <row r="145" spans="1:12" s="2" customFormat="1" ht="11.25" customHeight="1">
      <c r="A145" s="822"/>
      <c r="B145" s="886"/>
      <c r="C145" s="822"/>
      <c r="D145" s="822"/>
      <c r="E145" s="822"/>
      <c r="F145" s="1086"/>
      <c r="G145" s="85">
        <v>2017</v>
      </c>
      <c r="H145" s="91">
        <f t="shared" si="16"/>
        <v>51414.2</v>
      </c>
      <c r="I145" s="86">
        <v>25707.1</v>
      </c>
      <c r="J145" s="86">
        <f>'[4]8 План18-20-2'!G271</f>
        <v>0</v>
      </c>
      <c r="K145" s="86">
        <v>25707.1</v>
      </c>
      <c r="L145" s="86">
        <f>'[4]8 План18-20-2'!I271</f>
        <v>0</v>
      </c>
    </row>
    <row r="146" spans="1:12" s="2" customFormat="1" ht="11.25" customHeight="1">
      <c r="A146" s="822"/>
      <c r="B146" s="886"/>
      <c r="C146" s="822"/>
      <c r="D146" s="822"/>
      <c r="E146" s="822"/>
      <c r="F146" s="1086"/>
      <c r="G146" s="85">
        <v>2018</v>
      </c>
      <c r="H146" s="91">
        <f t="shared" si="16"/>
        <v>215202.1</v>
      </c>
      <c r="I146" s="86">
        <f>'[4]8 План18-20-2'!F272</f>
        <v>213050</v>
      </c>
      <c r="J146" s="86">
        <f>'[4]8 План18-20-2'!G272</f>
        <v>0</v>
      </c>
      <c r="K146" s="86">
        <f>'[4]8 План18-20-2'!H272</f>
        <v>2152.1</v>
      </c>
      <c r="L146" s="86">
        <f>'[4]8 План18-20-2'!I272</f>
        <v>0</v>
      </c>
    </row>
    <row r="147" spans="1:12" s="2" customFormat="1" ht="11.25" customHeight="1">
      <c r="A147" s="822"/>
      <c r="B147" s="886"/>
      <c r="C147" s="822"/>
      <c r="D147" s="822"/>
      <c r="E147" s="822"/>
      <c r="F147" s="1086"/>
      <c r="G147" s="85">
        <v>2019</v>
      </c>
      <c r="H147" s="91">
        <f t="shared" si="16"/>
        <v>255383.69999999998</v>
      </c>
      <c r="I147" s="86">
        <f>'[4]8 План18-20-2'!F273</f>
        <v>252829.8</v>
      </c>
      <c r="J147" s="86">
        <f>'[4]8 План18-20-2'!G273</f>
        <v>0</v>
      </c>
      <c r="K147" s="86">
        <f>'[4]8 План18-20-2'!H273</f>
        <v>2553.9</v>
      </c>
      <c r="L147" s="86">
        <f>'[4]8 План18-20-2'!I273</f>
        <v>0</v>
      </c>
    </row>
    <row r="148" spans="1:12" s="2" customFormat="1" ht="11.25" customHeight="1">
      <c r="A148" s="822"/>
      <c r="B148" s="886"/>
      <c r="C148" s="822"/>
      <c r="D148" s="822"/>
      <c r="E148" s="822"/>
      <c r="F148" s="1086"/>
      <c r="G148" s="85">
        <v>2020</v>
      </c>
      <c r="H148" s="91">
        <f>I148+J148+K148+L148</f>
        <v>0</v>
      </c>
      <c r="I148" s="86">
        <f>'[4]8 План18-20-2'!F274</f>
        <v>0</v>
      </c>
      <c r="J148" s="86">
        <f>'[4]8 План18-20-2'!G274</f>
        <v>0</v>
      </c>
      <c r="K148" s="86">
        <f>'[4]8 План18-20-2'!H274</f>
        <v>0</v>
      </c>
      <c r="L148" s="86">
        <f>'[4]8 План18-20-2'!I274</f>
        <v>0</v>
      </c>
    </row>
    <row r="149" spans="1:12" s="2" customFormat="1" ht="11.25" customHeight="1">
      <c r="A149" s="822" t="s">
        <v>418</v>
      </c>
      <c r="B149" s="886" t="s">
        <v>419</v>
      </c>
      <c r="C149" s="822" t="s">
        <v>85</v>
      </c>
      <c r="D149" s="822" t="s">
        <v>420</v>
      </c>
      <c r="E149" s="822" t="s">
        <v>421</v>
      </c>
      <c r="F149" s="1086" t="s">
        <v>422</v>
      </c>
      <c r="G149" s="68" t="s">
        <v>344</v>
      </c>
      <c r="H149" s="91">
        <f>I149+J149+K149+L149</f>
        <v>22035</v>
      </c>
      <c r="I149" s="86">
        <f>I150+I151+I152+I153+I154+I155+I156</f>
        <v>22035</v>
      </c>
      <c r="J149" s="86">
        <f>J150+J151+J152+J153+J154+J316+J156</f>
        <v>0</v>
      </c>
      <c r="K149" s="86">
        <f>K150+K151+K152+K153+K154+K155+K156</f>
        <v>0</v>
      </c>
      <c r="L149" s="86">
        <f>L150+L151+L152+L153+L154+L316+L156</f>
        <v>0</v>
      </c>
    </row>
    <row r="150" spans="1:12" s="2" customFormat="1" ht="11.25" customHeight="1">
      <c r="A150" s="822"/>
      <c r="B150" s="886"/>
      <c r="C150" s="822"/>
      <c r="D150" s="822"/>
      <c r="E150" s="822"/>
      <c r="F150" s="1086"/>
      <c r="G150" s="85">
        <v>2014</v>
      </c>
      <c r="H150" s="91">
        <f t="shared" ref="H150:H155" si="17">I150+J150+K150+L150</f>
        <v>0</v>
      </c>
      <c r="I150" s="86">
        <v>0</v>
      </c>
      <c r="J150" s="86">
        <v>0</v>
      </c>
      <c r="K150" s="86">
        <v>0</v>
      </c>
      <c r="L150" s="86">
        <v>0</v>
      </c>
    </row>
    <row r="151" spans="1:12" s="2" customFormat="1" ht="11.25" customHeight="1">
      <c r="A151" s="822"/>
      <c r="B151" s="886"/>
      <c r="C151" s="822"/>
      <c r="D151" s="822"/>
      <c r="E151" s="822"/>
      <c r="F151" s="1086"/>
      <c r="G151" s="85">
        <v>2015</v>
      </c>
      <c r="H151" s="91">
        <f t="shared" si="17"/>
        <v>0</v>
      </c>
      <c r="I151" s="86">
        <v>0</v>
      </c>
      <c r="J151" s="86">
        <v>0</v>
      </c>
      <c r="K151" s="86">
        <v>0</v>
      </c>
      <c r="L151" s="86">
        <v>0</v>
      </c>
    </row>
    <row r="152" spans="1:12" s="2" customFormat="1" ht="11.25" customHeight="1">
      <c r="A152" s="822"/>
      <c r="B152" s="886"/>
      <c r="C152" s="822"/>
      <c r="D152" s="822"/>
      <c r="E152" s="822"/>
      <c r="F152" s="1086"/>
      <c r="G152" s="85">
        <v>2016</v>
      </c>
      <c r="H152" s="91">
        <f t="shared" si="17"/>
        <v>0</v>
      </c>
      <c r="I152" s="86">
        <f>'[4]8 План18-20-2'!F276</f>
        <v>0</v>
      </c>
      <c r="J152" s="86">
        <f>'[4]8 План18-20-2'!G276</f>
        <v>0</v>
      </c>
      <c r="K152" s="86">
        <f>'[4]8 План18-20-2'!H276</f>
        <v>0</v>
      </c>
      <c r="L152" s="86">
        <f>'[4]8 План18-20-2'!I276</f>
        <v>0</v>
      </c>
    </row>
    <row r="153" spans="1:12" s="2" customFormat="1" ht="11.25" customHeight="1">
      <c r="A153" s="822"/>
      <c r="B153" s="886"/>
      <c r="C153" s="822"/>
      <c r="D153" s="822"/>
      <c r="E153" s="822"/>
      <c r="F153" s="1086"/>
      <c r="G153" s="85">
        <v>2017</v>
      </c>
      <c r="H153" s="91">
        <f t="shared" si="17"/>
        <v>16950</v>
      </c>
      <c r="I153" s="86">
        <v>16950</v>
      </c>
      <c r="J153" s="86">
        <f>'[4]8 План18-20-2'!G277</f>
        <v>0</v>
      </c>
      <c r="K153" s="86">
        <f>'[4]8 План18-20-2'!H277</f>
        <v>0</v>
      </c>
      <c r="L153" s="86">
        <f>'[4]8 План18-20-2'!I277</f>
        <v>0</v>
      </c>
    </row>
    <row r="154" spans="1:12" s="2" customFormat="1" ht="11.25" customHeight="1">
      <c r="A154" s="822"/>
      <c r="B154" s="886"/>
      <c r="C154" s="822"/>
      <c r="D154" s="822"/>
      <c r="E154" s="822"/>
      <c r="F154" s="1086"/>
      <c r="G154" s="85">
        <v>2018</v>
      </c>
      <c r="H154" s="91">
        <f t="shared" si="17"/>
        <v>5085</v>
      </c>
      <c r="I154" s="86">
        <f>'[4]8 План18-20-2'!F278</f>
        <v>5085</v>
      </c>
      <c r="J154" s="86">
        <f>'[4]8 План18-20-2'!G278</f>
        <v>0</v>
      </c>
      <c r="K154" s="86">
        <f>'[4]8 План18-20-2'!H278</f>
        <v>0</v>
      </c>
      <c r="L154" s="86">
        <f>'[4]8 План18-20-2'!I278</f>
        <v>0</v>
      </c>
    </row>
    <row r="155" spans="1:12" s="2" customFormat="1" ht="11.25" customHeight="1">
      <c r="A155" s="822"/>
      <c r="B155" s="886"/>
      <c r="C155" s="822"/>
      <c r="D155" s="822"/>
      <c r="E155" s="822"/>
      <c r="F155" s="1086"/>
      <c r="G155" s="85">
        <v>2019</v>
      </c>
      <c r="H155" s="91">
        <f t="shared" si="17"/>
        <v>0</v>
      </c>
      <c r="I155" s="86">
        <f>'[4]8 План18-20-2'!F279</f>
        <v>0</v>
      </c>
      <c r="J155" s="86">
        <f>'[4]8 План18-20-2'!G279</f>
        <v>0</v>
      </c>
      <c r="K155" s="86">
        <f>'[4]8 План18-20-2'!H279</f>
        <v>0</v>
      </c>
      <c r="L155" s="86">
        <f>'[4]8 План18-20-2'!I279</f>
        <v>0</v>
      </c>
    </row>
    <row r="156" spans="1:12" s="2" customFormat="1" ht="11.25" customHeight="1">
      <c r="A156" s="822"/>
      <c r="B156" s="886"/>
      <c r="C156" s="822"/>
      <c r="D156" s="822"/>
      <c r="E156" s="822"/>
      <c r="F156" s="1086"/>
      <c r="G156" s="85">
        <v>2020</v>
      </c>
      <c r="H156" s="91">
        <f>I156+J156+K156+L156</f>
        <v>0</v>
      </c>
      <c r="I156" s="86">
        <f>'[4]8 План18-20-2'!F280</f>
        <v>0</v>
      </c>
      <c r="J156" s="86">
        <f>'[4]8 План18-20-2'!G280</f>
        <v>0</v>
      </c>
      <c r="K156" s="86">
        <f>'[4]8 План18-20-2'!H280</f>
        <v>0</v>
      </c>
      <c r="L156" s="86">
        <f>'[4]8 План18-20-2'!I280</f>
        <v>0</v>
      </c>
    </row>
    <row r="157" spans="1:12" s="2" customFormat="1" ht="11.25" customHeight="1">
      <c r="A157" s="822" t="s">
        <v>423</v>
      </c>
      <c r="B157" s="886" t="s">
        <v>424</v>
      </c>
      <c r="C157" s="822" t="s">
        <v>425</v>
      </c>
      <c r="D157" s="822" t="s">
        <v>426</v>
      </c>
      <c r="E157" s="822" t="s">
        <v>427</v>
      </c>
      <c r="F157" s="1086" t="s">
        <v>428</v>
      </c>
      <c r="G157" s="68" t="s">
        <v>344</v>
      </c>
      <c r="H157" s="91">
        <f>I157+J157+K157+L157</f>
        <v>4483.6000000000004</v>
      </c>
      <c r="I157" s="86">
        <f>I158+I159+I160+I161+I162+I163+I164</f>
        <v>4483.6000000000004</v>
      </c>
      <c r="J157" s="86">
        <f>J158+J159+J160+J161+J162+J324+J164</f>
        <v>0</v>
      </c>
      <c r="K157" s="86">
        <f>K158+K159+K160+K161+K162+K163+K164</f>
        <v>0</v>
      </c>
      <c r="L157" s="86">
        <f>L158+L159+L160+L161+L162+L324+L164</f>
        <v>0</v>
      </c>
    </row>
    <row r="158" spans="1:12" s="2" customFormat="1" ht="11.25" customHeight="1">
      <c r="A158" s="822"/>
      <c r="B158" s="886"/>
      <c r="C158" s="822"/>
      <c r="D158" s="822"/>
      <c r="E158" s="822"/>
      <c r="F158" s="1086"/>
      <c r="G158" s="85">
        <v>2014</v>
      </c>
      <c r="H158" s="91">
        <f t="shared" ref="H158:H163" si="18">I158+J158+K158+L158</f>
        <v>0</v>
      </c>
      <c r="I158" s="86">
        <v>0</v>
      </c>
      <c r="J158" s="86">
        <v>0</v>
      </c>
      <c r="K158" s="86">
        <v>0</v>
      </c>
      <c r="L158" s="86">
        <v>0</v>
      </c>
    </row>
    <row r="159" spans="1:12" s="2" customFormat="1" ht="11.25" customHeight="1">
      <c r="A159" s="822"/>
      <c r="B159" s="886"/>
      <c r="C159" s="822"/>
      <c r="D159" s="822"/>
      <c r="E159" s="822"/>
      <c r="F159" s="1086"/>
      <c r="G159" s="85">
        <v>2015</v>
      </c>
      <c r="H159" s="91">
        <f t="shared" si="18"/>
        <v>0</v>
      </c>
      <c r="I159" s="86">
        <v>0</v>
      </c>
      <c r="J159" s="86">
        <v>0</v>
      </c>
      <c r="K159" s="86">
        <v>0</v>
      </c>
      <c r="L159" s="86">
        <v>0</v>
      </c>
    </row>
    <row r="160" spans="1:12" s="2" customFormat="1" ht="11.25" customHeight="1">
      <c r="A160" s="822"/>
      <c r="B160" s="886"/>
      <c r="C160" s="822"/>
      <c r="D160" s="822"/>
      <c r="E160" s="822"/>
      <c r="F160" s="1086"/>
      <c r="G160" s="85">
        <v>2016</v>
      </c>
      <c r="H160" s="91">
        <f t="shared" si="18"/>
        <v>0</v>
      </c>
      <c r="I160" s="86">
        <f>'[4]8 План18-20-2'!F282</f>
        <v>0</v>
      </c>
      <c r="J160" s="86">
        <f>'[4]8 План18-20-2'!G282</f>
        <v>0</v>
      </c>
      <c r="K160" s="86">
        <f>'[4]8 План18-20-2'!H282</f>
        <v>0</v>
      </c>
      <c r="L160" s="86">
        <f>'[4]8 План18-20-2'!I282</f>
        <v>0</v>
      </c>
    </row>
    <row r="161" spans="1:12" s="2" customFormat="1" ht="11.25" customHeight="1">
      <c r="A161" s="822"/>
      <c r="B161" s="886"/>
      <c r="C161" s="822"/>
      <c r="D161" s="822"/>
      <c r="E161" s="822"/>
      <c r="F161" s="1086"/>
      <c r="G161" s="85">
        <v>2017</v>
      </c>
      <c r="H161" s="91">
        <f t="shared" si="18"/>
        <v>4483.6000000000004</v>
      </c>
      <c r="I161" s="86">
        <v>4483.6000000000004</v>
      </c>
      <c r="J161" s="86">
        <f>'[4]8 План18-20-2'!G283</f>
        <v>0</v>
      </c>
      <c r="K161" s="86">
        <f>'[4]8 План18-20-2'!H283</f>
        <v>0</v>
      </c>
      <c r="L161" s="86">
        <f>'[4]8 План18-20-2'!I283</f>
        <v>0</v>
      </c>
    </row>
    <row r="162" spans="1:12" s="2" customFormat="1" ht="11.25" customHeight="1">
      <c r="A162" s="822"/>
      <c r="B162" s="886"/>
      <c r="C162" s="822"/>
      <c r="D162" s="822"/>
      <c r="E162" s="822"/>
      <c r="F162" s="1086"/>
      <c r="G162" s="85">
        <v>2018</v>
      </c>
      <c r="H162" s="91">
        <f t="shared" si="18"/>
        <v>0</v>
      </c>
      <c r="I162" s="86">
        <f>'[4]8 План18-20-2'!F284</f>
        <v>0</v>
      </c>
      <c r="J162" s="86">
        <f>'[4]8 План18-20-2'!G284</f>
        <v>0</v>
      </c>
      <c r="K162" s="86">
        <f>'[4]8 План18-20-2'!H284</f>
        <v>0</v>
      </c>
      <c r="L162" s="86">
        <f>'[4]8 План18-20-2'!I284</f>
        <v>0</v>
      </c>
    </row>
    <row r="163" spans="1:12" s="2" customFormat="1" ht="11.25" customHeight="1">
      <c r="A163" s="822"/>
      <c r="B163" s="886"/>
      <c r="C163" s="822"/>
      <c r="D163" s="822"/>
      <c r="E163" s="822"/>
      <c r="F163" s="1086"/>
      <c r="G163" s="85">
        <v>2019</v>
      </c>
      <c r="H163" s="91">
        <f t="shared" si="18"/>
        <v>0</v>
      </c>
      <c r="I163" s="86">
        <f>'[4]8 План18-20-2'!F285</f>
        <v>0</v>
      </c>
      <c r="J163" s="86">
        <f>'[4]8 План18-20-2'!G285</f>
        <v>0</v>
      </c>
      <c r="K163" s="86">
        <f>'[4]8 План18-20-2'!H285</f>
        <v>0</v>
      </c>
      <c r="L163" s="86">
        <f>'[4]8 План18-20-2'!I285</f>
        <v>0</v>
      </c>
    </row>
    <row r="164" spans="1:12" s="2" customFormat="1" ht="11.25" customHeight="1">
      <c r="A164" s="822"/>
      <c r="B164" s="886"/>
      <c r="C164" s="822"/>
      <c r="D164" s="822"/>
      <c r="E164" s="822"/>
      <c r="F164" s="1086"/>
      <c r="G164" s="85">
        <v>2020</v>
      </c>
      <c r="H164" s="91">
        <f>I164+J164+K164+L164</f>
        <v>0</v>
      </c>
      <c r="I164" s="86">
        <v>0</v>
      </c>
      <c r="J164" s="86">
        <v>0</v>
      </c>
      <c r="K164" s="86">
        <v>0</v>
      </c>
      <c r="L164" s="86">
        <v>0</v>
      </c>
    </row>
    <row r="165" spans="1:12" s="2" customFormat="1" ht="11.25" customHeight="1">
      <c r="A165" s="822" t="s">
        <v>429</v>
      </c>
      <c r="B165" s="886" t="s">
        <v>430</v>
      </c>
      <c r="C165" s="822" t="s">
        <v>431</v>
      </c>
      <c r="D165" s="822" t="s">
        <v>432</v>
      </c>
      <c r="E165" s="822" t="s">
        <v>433</v>
      </c>
      <c r="F165" s="1086" t="s">
        <v>434</v>
      </c>
      <c r="G165" s="68" t="s">
        <v>344</v>
      </c>
      <c r="H165" s="91">
        <f>I165+J165+K165+L165</f>
        <v>283000</v>
      </c>
      <c r="I165" s="86">
        <f>I166+I167+I168+I169+I170+I171+I172</f>
        <v>122350</v>
      </c>
      <c r="J165" s="86">
        <f>J166+J167+J168+J169+J170+J332+J172</f>
        <v>0</v>
      </c>
      <c r="K165" s="86">
        <f>K166+K167+K168+K169+K170+K171+K172</f>
        <v>132350</v>
      </c>
      <c r="L165" s="86">
        <f>L166+L167+L168+L169+L170+L171+L172</f>
        <v>28300</v>
      </c>
    </row>
    <row r="166" spans="1:12" s="2" customFormat="1" ht="11.25" customHeight="1">
      <c r="A166" s="822"/>
      <c r="B166" s="886"/>
      <c r="C166" s="822"/>
      <c r="D166" s="822"/>
      <c r="E166" s="822"/>
      <c r="F166" s="1086"/>
      <c r="G166" s="85">
        <v>2014</v>
      </c>
      <c r="H166" s="86">
        <v>0</v>
      </c>
      <c r="I166" s="86">
        <v>0</v>
      </c>
      <c r="J166" s="86">
        <v>0</v>
      </c>
      <c r="K166" s="86">
        <v>0</v>
      </c>
      <c r="L166" s="86">
        <v>0</v>
      </c>
    </row>
    <row r="167" spans="1:12" s="2" customFormat="1" ht="11.25" customHeight="1">
      <c r="A167" s="822"/>
      <c r="B167" s="886"/>
      <c r="C167" s="822"/>
      <c r="D167" s="822"/>
      <c r="E167" s="822"/>
      <c r="F167" s="1086"/>
      <c r="G167" s="85">
        <v>2015</v>
      </c>
      <c r="H167" s="86">
        <v>0</v>
      </c>
      <c r="I167" s="86">
        <v>0</v>
      </c>
      <c r="J167" s="86">
        <v>0</v>
      </c>
      <c r="K167" s="86">
        <v>0</v>
      </c>
      <c r="L167" s="86">
        <v>0</v>
      </c>
    </row>
    <row r="168" spans="1:12" s="2" customFormat="1" ht="11.25" customHeight="1">
      <c r="A168" s="822"/>
      <c r="B168" s="886"/>
      <c r="C168" s="822"/>
      <c r="D168" s="822"/>
      <c r="E168" s="822"/>
      <c r="F168" s="1086"/>
      <c r="G168" s="85">
        <v>2016</v>
      </c>
      <c r="H168" s="91">
        <f t="shared" ref="H168:H179" si="19">I168+J168+K168+L168</f>
        <v>0</v>
      </c>
      <c r="I168" s="86">
        <f>'[4]8 План18-20-2'!F420</f>
        <v>0</v>
      </c>
      <c r="J168" s="86">
        <f>'[4]8 План18-20-2'!G420</f>
        <v>0</v>
      </c>
      <c r="K168" s="86">
        <f>'[4]8 План18-20-2'!H420</f>
        <v>0</v>
      </c>
      <c r="L168" s="86">
        <f>'[4]8 План18-20-2'!I420</f>
        <v>0</v>
      </c>
    </row>
    <row r="169" spans="1:12" s="2" customFormat="1" ht="11.25" customHeight="1">
      <c r="A169" s="822"/>
      <c r="B169" s="886"/>
      <c r="C169" s="822"/>
      <c r="D169" s="822"/>
      <c r="E169" s="822"/>
      <c r="F169" s="1086"/>
      <c r="G169" s="85">
        <v>2017</v>
      </c>
      <c r="H169" s="91">
        <f t="shared" si="19"/>
        <v>0</v>
      </c>
      <c r="I169" s="86">
        <f>'[4]8 План18-20-2'!F421</f>
        <v>0</v>
      </c>
      <c r="J169" s="86">
        <f>'[4]8 План18-20-2'!G421</f>
        <v>0</v>
      </c>
      <c r="K169" s="86">
        <f>'[4]8 План18-20-2'!H421</f>
        <v>0</v>
      </c>
      <c r="L169" s="86">
        <f>'[4]8 План18-20-2'!I421</f>
        <v>0</v>
      </c>
    </row>
    <row r="170" spans="1:12" s="2" customFormat="1" ht="11.25" customHeight="1">
      <c r="A170" s="822"/>
      <c r="B170" s="886"/>
      <c r="C170" s="822"/>
      <c r="D170" s="822"/>
      <c r="E170" s="822"/>
      <c r="F170" s="1086"/>
      <c r="G170" s="85">
        <v>2018</v>
      </c>
      <c r="H170" s="91">
        <f t="shared" si="19"/>
        <v>10000</v>
      </c>
      <c r="I170" s="86">
        <f>'[4]8 План18-20-2'!F422</f>
        <v>0</v>
      </c>
      <c r="J170" s="86">
        <f>'[4]8 План18-20-2'!G422</f>
        <v>0</v>
      </c>
      <c r="K170" s="86">
        <f>'[4]8 План18-20-2'!H422</f>
        <v>10000</v>
      </c>
      <c r="L170" s="86">
        <f>'[4]8 План18-20-2'!I422</f>
        <v>0</v>
      </c>
    </row>
    <row r="171" spans="1:12" s="2" customFormat="1" ht="11.25" customHeight="1">
      <c r="A171" s="822"/>
      <c r="B171" s="886"/>
      <c r="C171" s="822"/>
      <c r="D171" s="822"/>
      <c r="E171" s="822"/>
      <c r="F171" s="1086"/>
      <c r="G171" s="85">
        <v>2019</v>
      </c>
      <c r="H171" s="91">
        <f t="shared" si="19"/>
        <v>148300</v>
      </c>
      <c r="I171" s="86">
        <f>'[4]8 План18-20-2'!F423</f>
        <v>60000</v>
      </c>
      <c r="J171" s="86">
        <f>'[4]8 План18-20-2'!G423</f>
        <v>0</v>
      </c>
      <c r="K171" s="86">
        <f>'[4]8 План18-20-2'!H423</f>
        <v>60000</v>
      </c>
      <c r="L171" s="86">
        <f>'[4]8 План18-20-2'!I423</f>
        <v>28300</v>
      </c>
    </row>
    <row r="172" spans="1:12" s="2" customFormat="1" ht="11.25" customHeight="1">
      <c r="A172" s="822"/>
      <c r="B172" s="886"/>
      <c r="C172" s="822"/>
      <c r="D172" s="822"/>
      <c r="E172" s="822"/>
      <c r="F172" s="1086"/>
      <c r="G172" s="85">
        <v>2020</v>
      </c>
      <c r="H172" s="91">
        <f t="shared" si="19"/>
        <v>124700</v>
      </c>
      <c r="I172" s="86">
        <f>'[4]8 План18-20-2'!F424</f>
        <v>62350</v>
      </c>
      <c r="J172" s="86">
        <f>'[4]8 План18-20-2'!G424</f>
        <v>0</v>
      </c>
      <c r="K172" s="86">
        <f>'[4]8 План18-20-2'!H424</f>
        <v>62350</v>
      </c>
      <c r="L172" s="86">
        <f>'[4]8 План18-20-2'!I424</f>
        <v>0</v>
      </c>
    </row>
    <row r="173" spans="1:12" s="2" customFormat="1" ht="11.25" customHeight="1">
      <c r="A173" s="822" t="s">
        <v>435</v>
      </c>
      <c r="B173" s="886" t="s">
        <v>436</v>
      </c>
      <c r="C173" s="822" t="s">
        <v>437</v>
      </c>
      <c r="D173" s="822" t="s">
        <v>438</v>
      </c>
      <c r="E173" s="822" t="s">
        <v>439</v>
      </c>
      <c r="F173" s="1086" t="s">
        <v>440</v>
      </c>
      <c r="G173" s="96" t="s">
        <v>344</v>
      </c>
      <c r="H173" s="91">
        <f t="shared" si="19"/>
        <v>0</v>
      </c>
      <c r="I173" s="97">
        <f>I174+I175+I176+I177+I178+I179+I180</f>
        <v>0</v>
      </c>
      <c r="J173" s="97">
        <f>J174+J175+J176+J177+J178+J341+J180</f>
        <v>0</v>
      </c>
      <c r="K173" s="97">
        <f>K174+K175+K176+K177+K178+K179+K180</f>
        <v>0</v>
      </c>
      <c r="L173" s="97">
        <f>L174+L175+L176+L177+L178+L341+L180</f>
        <v>0</v>
      </c>
    </row>
    <row r="174" spans="1:12" s="2" customFormat="1" ht="11.25" customHeight="1">
      <c r="A174" s="822"/>
      <c r="B174" s="886"/>
      <c r="C174" s="822"/>
      <c r="D174" s="822"/>
      <c r="E174" s="822"/>
      <c r="F174" s="1086"/>
      <c r="G174" s="85">
        <v>2014</v>
      </c>
      <c r="H174" s="91">
        <f t="shared" si="19"/>
        <v>0</v>
      </c>
      <c r="I174" s="86">
        <v>0</v>
      </c>
      <c r="J174" s="86">
        <v>0</v>
      </c>
      <c r="K174" s="86">
        <v>0</v>
      </c>
      <c r="L174" s="86">
        <v>0</v>
      </c>
    </row>
    <row r="175" spans="1:12" s="2" customFormat="1" ht="11.25" customHeight="1">
      <c r="A175" s="822"/>
      <c r="B175" s="886"/>
      <c r="C175" s="822"/>
      <c r="D175" s="822"/>
      <c r="E175" s="822"/>
      <c r="F175" s="1086"/>
      <c r="G175" s="85">
        <v>2015</v>
      </c>
      <c r="H175" s="91">
        <f t="shared" si="19"/>
        <v>0</v>
      </c>
      <c r="I175" s="86">
        <v>0</v>
      </c>
      <c r="J175" s="86">
        <v>0</v>
      </c>
      <c r="K175" s="86">
        <v>0</v>
      </c>
      <c r="L175" s="86">
        <v>0</v>
      </c>
    </row>
    <row r="176" spans="1:12" s="2" customFormat="1" ht="11.25" customHeight="1">
      <c r="A176" s="822"/>
      <c r="B176" s="886"/>
      <c r="C176" s="822"/>
      <c r="D176" s="822"/>
      <c r="E176" s="822"/>
      <c r="F176" s="1086"/>
      <c r="G176" s="85">
        <v>2016</v>
      </c>
      <c r="H176" s="91">
        <f t="shared" si="19"/>
        <v>0</v>
      </c>
      <c r="I176" s="86">
        <v>0</v>
      </c>
      <c r="J176" s="86">
        <v>0</v>
      </c>
      <c r="K176" s="86">
        <v>0</v>
      </c>
      <c r="L176" s="86">
        <v>0</v>
      </c>
    </row>
    <row r="177" spans="1:12" s="2" customFormat="1" ht="11.25" customHeight="1">
      <c r="A177" s="822"/>
      <c r="B177" s="886"/>
      <c r="C177" s="822"/>
      <c r="D177" s="822"/>
      <c r="E177" s="822"/>
      <c r="F177" s="1086"/>
      <c r="G177" s="85">
        <v>2017</v>
      </c>
      <c r="H177" s="91">
        <f t="shared" si="19"/>
        <v>0</v>
      </c>
      <c r="I177" s="86">
        <v>0</v>
      </c>
      <c r="J177" s="86">
        <v>0</v>
      </c>
      <c r="K177" s="86">
        <v>0</v>
      </c>
      <c r="L177" s="86">
        <v>0</v>
      </c>
    </row>
    <row r="178" spans="1:12" s="2" customFormat="1" ht="11.25" customHeight="1">
      <c r="A178" s="822"/>
      <c r="B178" s="886"/>
      <c r="C178" s="822"/>
      <c r="D178" s="822"/>
      <c r="E178" s="822"/>
      <c r="F178" s="1086"/>
      <c r="G178" s="85">
        <v>2018</v>
      </c>
      <c r="H178" s="91">
        <f t="shared" si="19"/>
        <v>0</v>
      </c>
      <c r="I178" s="86">
        <v>0</v>
      </c>
      <c r="J178" s="86">
        <v>0</v>
      </c>
      <c r="K178" s="86">
        <v>0</v>
      </c>
      <c r="L178" s="86">
        <v>0</v>
      </c>
    </row>
    <row r="179" spans="1:12" s="2" customFormat="1" ht="11.25" customHeight="1">
      <c r="A179" s="822"/>
      <c r="B179" s="886"/>
      <c r="C179" s="822"/>
      <c r="D179" s="822"/>
      <c r="E179" s="822"/>
      <c r="F179" s="1086"/>
      <c r="G179" s="85">
        <v>2019</v>
      </c>
      <c r="H179" s="91">
        <f t="shared" si="19"/>
        <v>0</v>
      </c>
      <c r="I179" s="86">
        <v>0</v>
      </c>
      <c r="J179" s="86">
        <f>'[2]Пр14. План'!$I$789</f>
        <v>0</v>
      </c>
      <c r="K179" s="86">
        <v>0</v>
      </c>
      <c r="L179" s="86">
        <f>'[2]Пр14. План'!$I$789</f>
        <v>0</v>
      </c>
    </row>
    <row r="180" spans="1:12" s="2" customFormat="1" ht="11.25" customHeight="1">
      <c r="A180" s="822"/>
      <c r="B180" s="886"/>
      <c r="C180" s="822"/>
      <c r="D180" s="822"/>
      <c r="E180" s="822"/>
      <c r="F180" s="1086"/>
      <c r="G180" s="85">
        <v>2020</v>
      </c>
      <c r="H180" s="91">
        <f>I180+J180+K180+L180</f>
        <v>0</v>
      </c>
      <c r="I180" s="86">
        <v>0</v>
      </c>
      <c r="J180" s="86">
        <f>'[2]Пр14. План'!$I$789</f>
        <v>0</v>
      </c>
      <c r="K180" s="86">
        <v>0</v>
      </c>
      <c r="L180" s="86">
        <f>'[2]Пр14. План'!$I$789</f>
        <v>0</v>
      </c>
    </row>
    <row r="181" spans="1:12">
      <c r="A181"/>
      <c r="B181"/>
      <c r="C181"/>
      <c r="D181"/>
      <c r="E181"/>
      <c r="F181"/>
      <c r="H181" s="81"/>
      <c r="I181" s="81"/>
      <c r="J181" s="81"/>
      <c r="K181" s="81"/>
      <c r="L181" s="81"/>
    </row>
    <row r="182" spans="1:12" ht="16.5" customHeight="1">
      <c r="A182"/>
      <c r="B182"/>
      <c r="C182"/>
      <c r="D182"/>
      <c r="E182"/>
      <c r="F182"/>
      <c r="H182" s="81"/>
      <c r="I182" s="81"/>
      <c r="J182" s="81"/>
      <c r="K182" s="81"/>
      <c r="L182" s="81"/>
    </row>
    <row r="183" spans="1:12">
      <c r="A183"/>
      <c r="B183"/>
      <c r="C183"/>
      <c r="D183"/>
      <c r="E183"/>
      <c r="F183"/>
      <c r="H183" s="81"/>
      <c r="I183" s="81"/>
      <c r="J183" s="81"/>
      <c r="K183" s="81"/>
      <c r="L183" s="81"/>
    </row>
    <row r="184" spans="1:12">
      <c r="A184"/>
      <c r="B184"/>
      <c r="C184"/>
      <c r="D184"/>
      <c r="E184"/>
      <c r="F184"/>
      <c r="H184" s="81"/>
      <c r="I184" s="81"/>
      <c r="J184" s="81"/>
      <c r="K184" s="81"/>
      <c r="L184" s="81"/>
    </row>
    <row r="185" spans="1:12">
      <c r="A185"/>
      <c r="B185"/>
      <c r="C185"/>
      <c r="D185"/>
      <c r="E185"/>
      <c r="F185"/>
      <c r="H185" s="81"/>
      <c r="I185" s="81"/>
      <c r="J185" s="81"/>
      <c r="K185" s="81"/>
      <c r="L185" s="81"/>
    </row>
    <row r="186" spans="1:12">
      <c r="A186"/>
      <c r="B186"/>
      <c r="C186"/>
      <c r="D186"/>
      <c r="E186"/>
      <c r="F186"/>
      <c r="H186" s="81"/>
      <c r="I186" s="81"/>
      <c r="J186" s="81"/>
      <c r="K186" s="81"/>
      <c r="L186" s="81"/>
    </row>
    <row r="187" spans="1:12">
      <c r="A187"/>
      <c r="B187"/>
      <c r="C187"/>
      <c r="D187"/>
      <c r="E187"/>
      <c r="F187"/>
      <c r="H187" s="81"/>
      <c r="I187" s="81"/>
      <c r="J187" s="81"/>
      <c r="K187" s="81"/>
      <c r="L187" s="81"/>
    </row>
    <row r="188" spans="1:12">
      <c r="A188"/>
      <c r="B188"/>
      <c r="C188"/>
      <c r="D188"/>
      <c r="E188"/>
      <c r="F188"/>
      <c r="H188" s="81"/>
      <c r="I188" s="81"/>
      <c r="J188" s="81"/>
      <c r="K188" s="81"/>
      <c r="L188" s="81"/>
    </row>
    <row r="189" spans="1:12">
      <c r="A189"/>
      <c r="B189"/>
      <c r="C189"/>
      <c r="D189"/>
      <c r="E189"/>
      <c r="F189"/>
      <c r="H189" s="81"/>
      <c r="I189" s="81"/>
      <c r="J189" s="81"/>
      <c r="K189" s="81"/>
      <c r="L189" s="81"/>
    </row>
    <row r="190" spans="1:12">
      <c r="A190"/>
      <c r="B190"/>
      <c r="C190"/>
      <c r="D190"/>
      <c r="E190"/>
      <c r="F190"/>
      <c r="H190" s="81"/>
      <c r="I190" s="81"/>
      <c r="J190" s="81"/>
      <c r="K190" s="81"/>
      <c r="L190" s="81"/>
    </row>
    <row r="191" spans="1:12">
      <c r="A191"/>
      <c r="B191"/>
      <c r="C191"/>
      <c r="D191"/>
      <c r="E191"/>
      <c r="F191"/>
      <c r="H191" s="81"/>
      <c r="I191" s="81"/>
      <c r="J191" s="81"/>
      <c r="K191" s="81"/>
      <c r="L191" s="81"/>
    </row>
    <row r="192" spans="1:12">
      <c r="A192"/>
      <c r="B192"/>
      <c r="C192"/>
      <c r="D192"/>
      <c r="E192"/>
      <c r="F192"/>
      <c r="H192" s="81"/>
      <c r="I192" s="81"/>
      <c r="J192" s="81"/>
      <c r="K192" s="81"/>
      <c r="L192" s="81"/>
    </row>
    <row r="193" spans="1:12">
      <c r="A193"/>
      <c r="B193"/>
      <c r="C193"/>
      <c r="D193"/>
      <c r="E193"/>
      <c r="F193"/>
      <c r="H193" s="81"/>
      <c r="I193" s="81"/>
      <c r="J193" s="81"/>
      <c r="K193" s="81"/>
      <c r="L193" s="81"/>
    </row>
    <row r="194" spans="1:12">
      <c r="A194"/>
      <c r="B194"/>
      <c r="C194"/>
      <c r="D194"/>
      <c r="E194"/>
      <c r="F194"/>
      <c r="H194" s="81"/>
      <c r="I194" s="81"/>
      <c r="J194" s="81"/>
      <c r="K194" s="81"/>
      <c r="L194" s="81"/>
    </row>
    <row r="195" spans="1:12">
      <c r="A195"/>
      <c r="B195"/>
      <c r="C195"/>
      <c r="D195"/>
      <c r="E195"/>
      <c r="F195"/>
      <c r="H195" s="81"/>
      <c r="I195" s="81"/>
      <c r="J195" s="81"/>
      <c r="K195" s="81"/>
      <c r="L195" s="81"/>
    </row>
    <row r="196" spans="1:12">
      <c r="A196"/>
      <c r="B196"/>
      <c r="C196"/>
      <c r="D196"/>
      <c r="E196"/>
      <c r="F196"/>
      <c r="H196" s="81"/>
      <c r="I196" s="81"/>
      <c r="J196" s="81"/>
      <c r="K196" s="81"/>
      <c r="L196" s="81"/>
    </row>
    <row r="197" spans="1:12">
      <c r="A197"/>
      <c r="B197"/>
      <c r="C197"/>
      <c r="D197"/>
      <c r="E197"/>
      <c r="F197"/>
      <c r="H197" s="81"/>
      <c r="I197" s="81"/>
      <c r="J197" s="81"/>
      <c r="K197" s="81"/>
      <c r="L197" s="81"/>
    </row>
    <row r="198" spans="1:12">
      <c r="A198"/>
      <c r="B198"/>
      <c r="C198"/>
      <c r="D198"/>
      <c r="E198"/>
      <c r="F198"/>
      <c r="H198" s="81"/>
      <c r="I198" s="81"/>
      <c r="J198" s="81"/>
      <c r="K198" s="81"/>
      <c r="L198" s="81"/>
    </row>
    <row r="199" spans="1:12">
      <c r="A199"/>
      <c r="B199"/>
      <c r="C199"/>
      <c r="D199"/>
      <c r="E199"/>
      <c r="F199"/>
      <c r="H199" s="81"/>
      <c r="I199" s="81"/>
      <c r="J199" s="81"/>
      <c r="K199" s="81"/>
      <c r="L199" s="81"/>
    </row>
    <row r="200" spans="1:12">
      <c r="A200"/>
      <c r="B200"/>
      <c r="C200"/>
      <c r="D200"/>
      <c r="E200"/>
      <c r="F200"/>
      <c r="H200" s="81"/>
      <c r="I200" s="81"/>
      <c r="J200" s="81"/>
      <c r="K200" s="81"/>
      <c r="L200" s="81"/>
    </row>
    <row r="201" spans="1:12">
      <c r="A201"/>
      <c r="B201"/>
      <c r="C201"/>
      <c r="D201"/>
      <c r="E201"/>
      <c r="F201"/>
      <c r="H201" s="81"/>
      <c r="I201" s="81"/>
      <c r="J201" s="81"/>
      <c r="K201" s="81"/>
      <c r="L201" s="81"/>
    </row>
    <row r="202" spans="1:12">
      <c r="A202"/>
      <c r="B202"/>
      <c r="C202"/>
      <c r="D202"/>
      <c r="E202"/>
      <c r="F202"/>
      <c r="H202" s="81"/>
      <c r="I202" s="81"/>
      <c r="J202" s="81"/>
      <c r="K202" s="81"/>
      <c r="L202" s="81"/>
    </row>
    <row r="203" spans="1:12">
      <c r="A203"/>
      <c r="B203"/>
      <c r="C203"/>
      <c r="D203"/>
      <c r="E203"/>
      <c r="F203"/>
      <c r="H203" s="81"/>
      <c r="I203" s="81"/>
      <c r="J203" s="81"/>
      <c r="K203" s="81"/>
      <c r="L203" s="81"/>
    </row>
    <row r="204" spans="1:12">
      <c r="A204"/>
      <c r="B204"/>
      <c r="C204"/>
      <c r="D204"/>
      <c r="E204"/>
      <c r="F204"/>
      <c r="H204" s="81"/>
      <c r="I204" s="81"/>
      <c r="J204" s="81"/>
      <c r="K204" s="81"/>
      <c r="L204" s="81"/>
    </row>
    <row r="205" spans="1:12">
      <c r="A205"/>
      <c r="B205"/>
      <c r="C205"/>
      <c r="D205"/>
      <c r="E205"/>
      <c r="F205"/>
      <c r="H205" s="81"/>
      <c r="I205" s="81"/>
      <c r="J205" s="81"/>
      <c r="K205" s="81"/>
      <c r="L205" s="81"/>
    </row>
    <row r="206" spans="1:12">
      <c r="A206"/>
      <c r="B206"/>
      <c r="C206"/>
      <c r="D206"/>
      <c r="E206"/>
      <c r="F206"/>
      <c r="H206" s="81"/>
      <c r="I206" s="81"/>
      <c r="J206" s="81"/>
      <c r="K206" s="81"/>
      <c r="L206" s="81"/>
    </row>
    <row r="207" spans="1:12">
      <c r="A207"/>
      <c r="B207"/>
      <c r="C207"/>
      <c r="D207"/>
      <c r="E207"/>
      <c r="F207"/>
      <c r="H207" s="81"/>
      <c r="I207" s="81"/>
      <c r="J207" s="81"/>
      <c r="K207" s="81"/>
      <c r="L207" s="81"/>
    </row>
    <row r="208" spans="1:12">
      <c r="A208"/>
      <c r="B208"/>
      <c r="C208"/>
      <c r="D208"/>
      <c r="E208"/>
      <c r="F208"/>
      <c r="H208" s="81"/>
      <c r="I208" s="81"/>
      <c r="J208" s="81"/>
      <c r="K208" s="81"/>
      <c r="L208" s="81"/>
    </row>
    <row r="209" spans="1:12">
      <c r="A209"/>
      <c r="B209"/>
      <c r="C209"/>
      <c r="D209"/>
      <c r="E209"/>
      <c r="F209"/>
      <c r="H209" s="81"/>
      <c r="I209" s="81"/>
      <c r="J209" s="81"/>
      <c r="K209" s="81"/>
      <c r="L209" s="81"/>
    </row>
    <row r="210" spans="1:12">
      <c r="A210"/>
      <c r="B210"/>
      <c r="C210"/>
      <c r="D210"/>
      <c r="E210"/>
      <c r="F210"/>
      <c r="H210" s="81"/>
      <c r="I210" s="81"/>
      <c r="J210" s="81"/>
      <c r="K210" s="81"/>
      <c r="L210" s="81"/>
    </row>
    <row r="211" spans="1:12">
      <c r="A211"/>
      <c r="B211"/>
      <c r="C211"/>
      <c r="D211"/>
      <c r="E211"/>
      <c r="F211"/>
      <c r="H211" s="81"/>
      <c r="I211" s="81"/>
      <c r="J211" s="81"/>
      <c r="K211" s="81"/>
      <c r="L211" s="81"/>
    </row>
    <row r="212" spans="1:12">
      <c r="A212"/>
      <c r="B212"/>
      <c r="C212"/>
      <c r="D212"/>
      <c r="E212"/>
      <c r="F212"/>
      <c r="H212" s="81"/>
      <c r="I212" s="81"/>
      <c r="J212" s="81"/>
      <c r="K212" s="81"/>
      <c r="L212" s="81"/>
    </row>
    <row r="213" spans="1:12">
      <c r="A213"/>
      <c r="B213"/>
      <c r="C213"/>
      <c r="D213"/>
      <c r="E213"/>
      <c r="F213"/>
      <c r="H213" s="81"/>
      <c r="I213" s="81"/>
      <c r="J213" s="81"/>
      <c r="K213" s="81"/>
      <c r="L213" s="81"/>
    </row>
    <row r="214" spans="1:12">
      <c r="A214"/>
      <c r="B214"/>
      <c r="C214"/>
      <c r="D214"/>
      <c r="E214"/>
      <c r="F214"/>
      <c r="H214" s="81"/>
      <c r="I214" s="81"/>
      <c r="J214" s="81"/>
      <c r="K214" s="81"/>
      <c r="L214" s="81"/>
    </row>
    <row r="215" spans="1:12">
      <c r="A215"/>
      <c r="B215"/>
      <c r="C215"/>
      <c r="D215"/>
      <c r="E215"/>
      <c r="F215"/>
      <c r="H215" s="81"/>
      <c r="I215" s="81"/>
      <c r="J215" s="81"/>
      <c r="K215" s="81"/>
      <c r="L215" s="81"/>
    </row>
    <row r="216" spans="1:12">
      <c r="A216"/>
      <c r="B216"/>
      <c r="C216"/>
      <c r="D216"/>
      <c r="E216"/>
      <c r="F216"/>
      <c r="H216" s="81"/>
      <c r="I216" s="81"/>
      <c r="J216" s="81"/>
      <c r="K216" s="81"/>
      <c r="L216" s="81"/>
    </row>
    <row r="217" spans="1:12">
      <c r="A217"/>
      <c r="B217"/>
      <c r="C217"/>
      <c r="D217"/>
      <c r="E217"/>
      <c r="F217"/>
      <c r="H217" s="81"/>
      <c r="I217" s="81"/>
      <c r="J217" s="81"/>
      <c r="K217" s="81"/>
      <c r="L217" s="81"/>
    </row>
    <row r="218" spans="1:12">
      <c r="A218"/>
      <c r="B218"/>
      <c r="C218"/>
      <c r="D218"/>
      <c r="E218"/>
      <c r="F218"/>
      <c r="H218" s="81"/>
      <c r="I218" s="81"/>
      <c r="J218" s="81"/>
      <c r="K218" s="81"/>
      <c r="L218" s="81"/>
    </row>
    <row r="219" spans="1:12">
      <c r="A219"/>
      <c r="B219"/>
      <c r="C219"/>
      <c r="D219"/>
      <c r="E219"/>
      <c r="F219"/>
      <c r="H219" s="81"/>
      <c r="I219" s="81"/>
      <c r="J219" s="81"/>
      <c r="K219" s="81"/>
      <c r="L219" s="81"/>
    </row>
    <row r="220" spans="1:12">
      <c r="A220"/>
      <c r="B220"/>
      <c r="C220"/>
      <c r="D220"/>
      <c r="E220"/>
      <c r="F220"/>
      <c r="H220" s="81"/>
      <c r="I220" s="81"/>
      <c r="J220" s="81"/>
      <c r="K220" s="81"/>
      <c r="L220" s="81"/>
    </row>
    <row r="221" spans="1:12">
      <c r="A221"/>
      <c r="B221"/>
      <c r="C221"/>
      <c r="D221"/>
      <c r="E221"/>
      <c r="F221"/>
      <c r="H221" s="81"/>
      <c r="I221" s="81"/>
      <c r="J221" s="81"/>
      <c r="K221" s="81"/>
      <c r="L221" s="81"/>
    </row>
    <row r="222" spans="1:12">
      <c r="A222"/>
      <c r="B222"/>
      <c r="C222"/>
      <c r="D222"/>
      <c r="E222"/>
      <c r="F222"/>
      <c r="H222" s="81"/>
      <c r="I222" s="81"/>
      <c r="J222" s="81"/>
      <c r="K222" s="81"/>
      <c r="L222" s="81"/>
    </row>
    <row r="223" spans="1:12">
      <c r="A223"/>
      <c r="B223"/>
      <c r="C223"/>
      <c r="D223"/>
      <c r="E223"/>
      <c r="F223"/>
      <c r="H223" s="81"/>
      <c r="I223" s="81"/>
      <c r="J223" s="81"/>
      <c r="K223" s="81"/>
      <c r="L223" s="81"/>
    </row>
    <row r="224" spans="1:12">
      <c r="A224"/>
      <c r="B224"/>
      <c r="C224"/>
      <c r="D224"/>
      <c r="E224"/>
      <c r="F224"/>
      <c r="H224" s="81"/>
      <c r="I224" s="81"/>
      <c r="J224" s="81"/>
      <c r="K224" s="81"/>
      <c r="L224" s="81"/>
    </row>
    <row r="225" spans="1:12">
      <c r="A225"/>
      <c r="B225"/>
      <c r="C225"/>
      <c r="D225"/>
      <c r="E225"/>
      <c r="F225"/>
      <c r="H225" s="81"/>
      <c r="I225" s="81"/>
      <c r="J225" s="81"/>
      <c r="K225" s="81"/>
      <c r="L225" s="81"/>
    </row>
    <row r="226" spans="1:12">
      <c r="A226"/>
      <c r="B226"/>
      <c r="C226"/>
      <c r="D226"/>
      <c r="E226"/>
      <c r="F226"/>
      <c r="H226" s="81"/>
      <c r="I226" s="81"/>
      <c r="J226" s="81"/>
      <c r="K226" s="81"/>
      <c r="L226" s="81"/>
    </row>
    <row r="227" spans="1:12">
      <c r="A227"/>
      <c r="B227"/>
      <c r="C227"/>
      <c r="D227"/>
      <c r="E227"/>
      <c r="F227"/>
      <c r="H227" s="81"/>
      <c r="I227" s="81"/>
      <c r="J227" s="81"/>
      <c r="K227" s="81"/>
      <c r="L227" s="81"/>
    </row>
    <row r="228" spans="1:12">
      <c r="A228"/>
      <c r="B228"/>
      <c r="C228"/>
      <c r="D228"/>
      <c r="E228"/>
      <c r="F228"/>
      <c r="H228" s="81"/>
      <c r="I228" s="81"/>
      <c r="J228" s="81"/>
      <c r="K228" s="81"/>
      <c r="L228" s="81"/>
    </row>
    <row r="229" spans="1:12">
      <c r="A229"/>
      <c r="B229"/>
      <c r="C229"/>
      <c r="D229"/>
      <c r="E229"/>
      <c r="F229"/>
      <c r="H229" s="81"/>
      <c r="I229" s="81"/>
      <c r="J229" s="81"/>
      <c r="K229" s="81"/>
      <c r="L229" s="81"/>
    </row>
    <row r="230" spans="1:12">
      <c r="A230"/>
      <c r="B230"/>
      <c r="C230"/>
      <c r="D230"/>
      <c r="E230"/>
      <c r="F230"/>
      <c r="H230" s="81"/>
      <c r="I230" s="81"/>
      <c r="J230" s="81"/>
      <c r="K230" s="81"/>
      <c r="L230" s="81"/>
    </row>
    <row r="231" spans="1:12">
      <c r="A231"/>
      <c r="B231"/>
      <c r="C231"/>
      <c r="D231"/>
      <c r="E231"/>
      <c r="F231"/>
      <c r="H231" s="81"/>
      <c r="I231" s="81"/>
      <c r="J231" s="81"/>
      <c r="K231" s="81"/>
      <c r="L231" s="81"/>
    </row>
    <row r="232" spans="1:12">
      <c r="A232"/>
      <c r="B232"/>
      <c r="C232"/>
      <c r="D232"/>
      <c r="E232"/>
      <c r="F232"/>
      <c r="H232" s="81"/>
      <c r="I232" s="81"/>
      <c r="J232" s="81"/>
      <c r="K232" s="81"/>
      <c r="L232" s="81"/>
    </row>
    <row r="233" spans="1:12">
      <c r="A233"/>
      <c r="B233"/>
      <c r="C233"/>
      <c r="D233"/>
      <c r="E233"/>
      <c r="F233"/>
      <c r="H233" s="81"/>
      <c r="I233" s="81"/>
      <c r="J233" s="81"/>
      <c r="K233" s="81"/>
      <c r="L233" s="81"/>
    </row>
    <row r="234" spans="1:12">
      <c r="A234"/>
      <c r="B234"/>
      <c r="C234"/>
      <c r="D234"/>
      <c r="E234"/>
      <c r="F234"/>
      <c r="H234" s="81"/>
      <c r="I234" s="81"/>
      <c r="J234" s="81"/>
      <c r="K234" s="81"/>
      <c r="L234" s="81"/>
    </row>
    <row r="235" spans="1:12">
      <c r="A235"/>
      <c r="B235"/>
      <c r="C235"/>
      <c r="D235"/>
      <c r="E235"/>
      <c r="F235"/>
      <c r="H235" s="81"/>
      <c r="I235" s="81"/>
      <c r="J235" s="81"/>
      <c r="K235" s="81"/>
      <c r="L235" s="81"/>
    </row>
    <row r="236" spans="1:12">
      <c r="A236"/>
      <c r="B236"/>
      <c r="C236"/>
      <c r="D236"/>
      <c r="E236"/>
      <c r="F236"/>
      <c r="H236" s="81"/>
      <c r="I236" s="81"/>
      <c r="J236" s="81"/>
      <c r="K236" s="81"/>
      <c r="L236" s="81"/>
    </row>
    <row r="237" spans="1:12">
      <c r="A237"/>
      <c r="B237"/>
      <c r="C237"/>
      <c r="D237"/>
      <c r="E237"/>
      <c r="F237"/>
      <c r="H237" s="81"/>
      <c r="I237" s="81"/>
      <c r="J237" s="81"/>
      <c r="K237" s="81"/>
      <c r="L237" s="81"/>
    </row>
    <row r="238" spans="1:12">
      <c r="A238"/>
      <c r="B238"/>
      <c r="C238"/>
      <c r="D238"/>
      <c r="E238"/>
      <c r="F238"/>
      <c r="H238" s="81"/>
      <c r="I238" s="81"/>
      <c r="J238" s="81"/>
      <c r="K238" s="81"/>
      <c r="L238" s="81"/>
    </row>
    <row r="239" spans="1:12">
      <c r="A239"/>
      <c r="B239"/>
      <c r="C239"/>
      <c r="D239"/>
      <c r="E239"/>
      <c r="F239"/>
      <c r="H239" s="81"/>
      <c r="I239" s="81"/>
      <c r="J239" s="81"/>
      <c r="K239" s="81"/>
      <c r="L239" s="81"/>
    </row>
    <row r="240" spans="1:12">
      <c r="A240"/>
      <c r="B240"/>
      <c r="C240"/>
      <c r="D240"/>
      <c r="E240"/>
      <c r="F240"/>
      <c r="H240" s="81"/>
      <c r="I240" s="81"/>
      <c r="J240" s="81"/>
      <c r="K240" s="81"/>
      <c r="L240" s="81"/>
    </row>
    <row r="241" spans="1:12">
      <c r="A241"/>
      <c r="B241"/>
      <c r="C241"/>
      <c r="D241"/>
      <c r="E241"/>
      <c r="F241"/>
      <c r="H241" s="81"/>
      <c r="I241" s="81"/>
      <c r="J241" s="81"/>
      <c r="K241" s="81"/>
      <c r="L241" s="81"/>
    </row>
    <row r="242" spans="1:12">
      <c r="A242"/>
      <c r="B242"/>
      <c r="C242"/>
      <c r="D242"/>
      <c r="E242"/>
      <c r="F242"/>
      <c r="H242" s="81"/>
      <c r="I242" s="81"/>
      <c r="J242" s="81"/>
      <c r="K242" s="81"/>
      <c r="L242" s="81"/>
    </row>
    <row r="243" spans="1:12">
      <c r="A243"/>
      <c r="B243"/>
      <c r="C243"/>
      <c r="D243"/>
      <c r="E243"/>
      <c r="F243"/>
      <c r="H243" s="81"/>
      <c r="I243" s="81"/>
      <c r="J243" s="81"/>
      <c r="K243" s="81"/>
      <c r="L243" s="81"/>
    </row>
    <row r="244" spans="1:12">
      <c r="A244"/>
      <c r="B244"/>
      <c r="C244"/>
      <c r="D244"/>
      <c r="E244"/>
      <c r="F244"/>
      <c r="H244" s="81"/>
      <c r="I244" s="81"/>
      <c r="J244" s="81"/>
      <c r="K244" s="81"/>
      <c r="L244" s="81"/>
    </row>
    <row r="245" spans="1:12">
      <c r="A245"/>
      <c r="B245"/>
      <c r="C245"/>
      <c r="D245"/>
      <c r="E245"/>
      <c r="F245"/>
      <c r="H245" s="81"/>
      <c r="I245" s="81"/>
      <c r="J245" s="81"/>
      <c r="K245" s="81"/>
      <c r="L245" s="81"/>
    </row>
    <row r="246" spans="1:12">
      <c r="A246"/>
      <c r="B246"/>
      <c r="C246"/>
      <c r="D246"/>
      <c r="E246"/>
      <c r="F246"/>
      <c r="H246" s="81"/>
      <c r="I246" s="81"/>
      <c r="J246" s="81"/>
      <c r="K246" s="81"/>
      <c r="L246" s="81"/>
    </row>
    <row r="247" spans="1:12">
      <c r="A247"/>
      <c r="B247"/>
      <c r="C247"/>
      <c r="D247"/>
      <c r="E247"/>
      <c r="F247"/>
      <c r="H247" s="81"/>
      <c r="I247" s="81"/>
      <c r="J247" s="81"/>
      <c r="K247" s="81"/>
      <c r="L247" s="81"/>
    </row>
    <row r="248" spans="1:12">
      <c r="A248"/>
      <c r="B248"/>
      <c r="C248"/>
      <c r="D248"/>
      <c r="E248"/>
      <c r="F248"/>
      <c r="H248" s="81"/>
      <c r="I248" s="81"/>
      <c r="J248" s="81"/>
      <c r="K248" s="81"/>
      <c r="L248" s="81"/>
    </row>
    <row r="249" spans="1:12">
      <c r="A249"/>
      <c r="B249"/>
      <c r="C249"/>
      <c r="D249"/>
      <c r="E249"/>
      <c r="F249"/>
      <c r="H249" s="81"/>
      <c r="I249" s="81"/>
      <c r="J249" s="81"/>
      <c r="K249" s="81"/>
      <c r="L249" s="81"/>
    </row>
    <row r="250" spans="1:12">
      <c r="A250"/>
      <c r="B250"/>
      <c r="C250"/>
      <c r="D250"/>
      <c r="E250"/>
      <c r="F250"/>
      <c r="H250" s="81"/>
      <c r="I250" s="81"/>
      <c r="J250" s="81"/>
      <c r="K250" s="81"/>
      <c r="L250" s="81"/>
    </row>
    <row r="251" spans="1:12">
      <c r="A251"/>
      <c r="B251"/>
      <c r="C251"/>
      <c r="D251"/>
      <c r="E251"/>
      <c r="F251"/>
      <c r="H251" s="81"/>
      <c r="I251" s="81"/>
      <c r="J251" s="81"/>
      <c r="K251" s="81"/>
      <c r="L251" s="81"/>
    </row>
    <row r="252" spans="1:12">
      <c r="A252"/>
      <c r="B252"/>
      <c r="C252"/>
      <c r="D252"/>
      <c r="E252"/>
      <c r="F252"/>
      <c r="H252" s="81"/>
      <c r="I252" s="81"/>
      <c r="J252" s="81"/>
      <c r="K252" s="81"/>
      <c r="L252" s="81"/>
    </row>
    <row r="253" spans="1:12">
      <c r="A253"/>
      <c r="B253"/>
      <c r="C253"/>
      <c r="D253"/>
      <c r="E253"/>
      <c r="F253"/>
      <c r="H253" s="81"/>
      <c r="I253" s="81"/>
      <c r="J253" s="81"/>
      <c r="K253" s="81"/>
      <c r="L253" s="81"/>
    </row>
    <row r="254" spans="1:12">
      <c r="A254"/>
      <c r="B254"/>
      <c r="C254"/>
      <c r="D254"/>
      <c r="E254"/>
      <c r="F254"/>
      <c r="H254" s="81"/>
      <c r="I254" s="81"/>
      <c r="J254" s="81"/>
      <c r="K254" s="81"/>
      <c r="L254" s="81"/>
    </row>
    <row r="255" spans="1:12">
      <c r="A255"/>
      <c r="B255"/>
      <c r="C255"/>
      <c r="D255"/>
      <c r="E255"/>
      <c r="F255"/>
      <c r="H255" s="81"/>
      <c r="I255" s="81"/>
      <c r="J255" s="81"/>
      <c r="K255" s="81"/>
      <c r="L255" s="81"/>
    </row>
    <row r="256" spans="1:12">
      <c r="A256"/>
      <c r="B256"/>
      <c r="C256"/>
      <c r="D256"/>
      <c r="E256"/>
      <c r="F256"/>
      <c r="H256" s="81"/>
      <c r="I256" s="81"/>
      <c r="J256" s="81"/>
      <c r="K256" s="81"/>
      <c r="L256" s="81"/>
    </row>
    <row r="257" spans="1:12">
      <c r="A257"/>
      <c r="B257"/>
      <c r="C257"/>
      <c r="D257"/>
      <c r="E257"/>
      <c r="F257"/>
      <c r="H257" s="81"/>
      <c r="I257" s="81"/>
      <c r="J257" s="81"/>
      <c r="K257" s="81"/>
      <c r="L257" s="81"/>
    </row>
    <row r="258" spans="1:12">
      <c r="A258"/>
      <c r="B258"/>
      <c r="C258"/>
      <c r="D258"/>
      <c r="E258"/>
      <c r="F258"/>
      <c r="H258" s="81"/>
      <c r="I258" s="81"/>
      <c r="J258" s="81"/>
      <c r="K258" s="81"/>
      <c r="L258" s="81"/>
    </row>
    <row r="259" spans="1:12">
      <c r="A259"/>
      <c r="B259"/>
      <c r="C259"/>
      <c r="D259"/>
      <c r="E259"/>
      <c r="F259"/>
      <c r="H259" s="81"/>
      <c r="I259" s="81"/>
      <c r="J259" s="81"/>
      <c r="K259" s="81"/>
      <c r="L259" s="81"/>
    </row>
    <row r="260" spans="1:12">
      <c r="A260"/>
      <c r="B260"/>
      <c r="C260"/>
      <c r="D260"/>
      <c r="E260"/>
      <c r="F260"/>
      <c r="H260" s="81"/>
      <c r="I260" s="81"/>
      <c r="J260" s="81"/>
      <c r="K260" s="81"/>
      <c r="L260" s="81"/>
    </row>
    <row r="261" spans="1:12">
      <c r="A261"/>
      <c r="B261"/>
      <c r="C261"/>
      <c r="D261"/>
      <c r="E261"/>
      <c r="F261"/>
      <c r="H261" s="81"/>
      <c r="I261" s="81"/>
      <c r="J261" s="81"/>
      <c r="K261" s="81"/>
      <c r="L261" s="81"/>
    </row>
    <row r="262" spans="1:12">
      <c r="A262"/>
      <c r="B262"/>
      <c r="C262"/>
      <c r="D262"/>
      <c r="E262"/>
      <c r="F262"/>
      <c r="H262" s="81"/>
      <c r="I262" s="81"/>
      <c r="J262" s="81"/>
      <c r="K262" s="81"/>
      <c r="L262" s="81"/>
    </row>
    <row r="263" spans="1:12">
      <c r="A263"/>
      <c r="B263"/>
      <c r="C263"/>
      <c r="D263"/>
      <c r="E263"/>
      <c r="F263"/>
      <c r="H263" s="81"/>
      <c r="I263" s="81"/>
      <c r="J263" s="81"/>
      <c r="K263" s="81"/>
      <c r="L263" s="81"/>
    </row>
    <row r="264" spans="1:12">
      <c r="A264"/>
      <c r="B264"/>
      <c r="C264"/>
      <c r="D264"/>
      <c r="E264"/>
      <c r="F264"/>
      <c r="H264" s="81"/>
      <c r="I264" s="81"/>
      <c r="J264" s="81"/>
      <c r="K264" s="81"/>
      <c r="L264" s="81"/>
    </row>
    <row r="265" spans="1:12">
      <c r="A265"/>
      <c r="B265"/>
      <c r="C265"/>
      <c r="D265"/>
      <c r="E265"/>
      <c r="F265"/>
      <c r="H265" s="81"/>
      <c r="I265" s="81"/>
      <c r="J265" s="81"/>
      <c r="K265" s="81"/>
      <c r="L265" s="81"/>
    </row>
    <row r="266" spans="1:12">
      <c r="A266"/>
      <c r="B266"/>
      <c r="C266"/>
      <c r="D266"/>
      <c r="E266"/>
      <c r="F266"/>
      <c r="H266" s="81"/>
      <c r="I266" s="81"/>
      <c r="J266" s="81"/>
      <c r="K266" s="81"/>
      <c r="L266" s="81"/>
    </row>
    <row r="267" spans="1:12">
      <c r="A267"/>
      <c r="B267"/>
      <c r="C267"/>
      <c r="D267"/>
      <c r="E267"/>
      <c r="F267"/>
      <c r="H267" s="81"/>
      <c r="I267" s="81"/>
      <c r="J267" s="81"/>
      <c r="K267" s="81"/>
      <c r="L267" s="81"/>
    </row>
    <row r="268" spans="1:12">
      <c r="A268"/>
      <c r="B268"/>
      <c r="C268"/>
      <c r="D268"/>
      <c r="E268"/>
      <c r="F268"/>
      <c r="H268" s="81"/>
      <c r="I268" s="81"/>
      <c r="J268" s="81"/>
      <c r="K268" s="81"/>
      <c r="L268" s="81"/>
    </row>
    <row r="269" spans="1:12">
      <c r="A269"/>
      <c r="B269"/>
      <c r="C269"/>
      <c r="D269"/>
      <c r="E269"/>
      <c r="F269"/>
      <c r="H269" s="81"/>
      <c r="I269" s="81"/>
      <c r="J269" s="81"/>
      <c r="K269" s="81"/>
      <c r="L269" s="81"/>
    </row>
    <row r="270" spans="1:12">
      <c r="A270"/>
      <c r="B270"/>
      <c r="C270"/>
      <c r="D270"/>
      <c r="E270"/>
      <c r="F270"/>
      <c r="H270" s="81"/>
      <c r="I270" s="81"/>
      <c r="J270" s="81"/>
      <c r="K270" s="81"/>
      <c r="L270" s="81"/>
    </row>
    <row r="271" spans="1:12">
      <c r="A271"/>
      <c r="B271"/>
      <c r="C271"/>
      <c r="D271"/>
      <c r="E271"/>
      <c r="F271"/>
      <c r="H271" s="81"/>
      <c r="I271" s="81"/>
      <c r="J271" s="81"/>
      <c r="K271" s="81"/>
      <c r="L271" s="81"/>
    </row>
    <row r="272" spans="1:12">
      <c r="A272"/>
      <c r="B272"/>
      <c r="C272"/>
      <c r="D272"/>
      <c r="E272"/>
      <c r="F272"/>
      <c r="H272" s="81"/>
      <c r="I272" s="81"/>
      <c r="J272" s="81"/>
      <c r="K272" s="81"/>
      <c r="L272" s="81"/>
    </row>
    <row r="273" spans="1:12">
      <c r="A273"/>
      <c r="B273"/>
      <c r="C273"/>
      <c r="D273"/>
      <c r="E273"/>
      <c r="F273"/>
      <c r="H273" s="81"/>
      <c r="I273" s="81"/>
      <c r="J273" s="81"/>
      <c r="K273" s="81"/>
      <c r="L273" s="81"/>
    </row>
    <row r="274" spans="1:12">
      <c r="A274"/>
      <c r="B274"/>
      <c r="C274"/>
      <c r="D274"/>
      <c r="E274"/>
      <c r="F274"/>
      <c r="H274" s="81"/>
      <c r="I274" s="81"/>
      <c r="J274" s="81"/>
      <c r="K274" s="81"/>
      <c r="L274" s="81"/>
    </row>
    <row r="275" spans="1:12">
      <c r="A275"/>
      <c r="B275"/>
      <c r="C275"/>
      <c r="D275"/>
      <c r="E275"/>
      <c r="F275"/>
      <c r="H275" s="81"/>
      <c r="I275" s="81"/>
      <c r="J275" s="81"/>
      <c r="K275" s="81"/>
      <c r="L275" s="81"/>
    </row>
    <row r="276" spans="1:12">
      <c r="A276"/>
      <c r="B276"/>
      <c r="C276"/>
      <c r="D276"/>
      <c r="E276"/>
      <c r="F276"/>
      <c r="H276" s="81"/>
      <c r="I276" s="81"/>
      <c r="J276" s="81"/>
      <c r="K276" s="81"/>
      <c r="L276" s="81"/>
    </row>
    <row r="277" spans="1:12">
      <c r="A277"/>
      <c r="B277"/>
      <c r="C277"/>
      <c r="D277"/>
      <c r="E277"/>
      <c r="F277"/>
      <c r="H277" s="81"/>
      <c r="I277" s="81"/>
      <c r="J277" s="81"/>
      <c r="K277" s="81"/>
      <c r="L277" s="81"/>
    </row>
    <row r="278" spans="1:12">
      <c r="A278"/>
      <c r="B278"/>
      <c r="C278"/>
      <c r="D278"/>
      <c r="E278"/>
      <c r="F278"/>
      <c r="H278" s="81"/>
      <c r="I278" s="81"/>
      <c r="J278" s="81"/>
      <c r="K278" s="81"/>
      <c r="L278" s="81"/>
    </row>
    <row r="279" spans="1:12">
      <c r="A279"/>
      <c r="B279"/>
      <c r="C279"/>
      <c r="D279"/>
      <c r="E279"/>
      <c r="F279"/>
      <c r="H279" s="81"/>
      <c r="I279" s="81"/>
      <c r="J279" s="81"/>
      <c r="K279" s="81"/>
      <c r="L279" s="81"/>
    </row>
    <row r="280" spans="1:12">
      <c r="A280"/>
      <c r="B280"/>
      <c r="C280"/>
      <c r="D280"/>
      <c r="E280"/>
      <c r="F280"/>
      <c r="H280" s="81"/>
      <c r="I280" s="81"/>
      <c r="J280" s="81"/>
      <c r="K280" s="81"/>
      <c r="L280" s="81"/>
    </row>
    <row r="281" spans="1:12">
      <c r="A281"/>
      <c r="B281"/>
      <c r="C281"/>
      <c r="D281"/>
      <c r="E281"/>
      <c r="F281"/>
      <c r="H281" s="81"/>
      <c r="I281" s="81"/>
      <c r="J281" s="81"/>
      <c r="K281" s="81"/>
      <c r="L281" s="81"/>
    </row>
    <row r="282" spans="1:12">
      <c r="A282"/>
      <c r="B282"/>
      <c r="C282"/>
      <c r="D282"/>
      <c r="E282"/>
      <c r="F282"/>
      <c r="H282" s="81"/>
      <c r="I282" s="81"/>
      <c r="J282" s="81"/>
      <c r="K282" s="81"/>
      <c r="L282" s="81"/>
    </row>
    <row r="283" spans="1:12">
      <c r="A283"/>
      <c r="B283"/>
      <c r="C283"/>
      <c r="D283"/>
      <c r="E283"/>
      <c r="F283"/>
      <c r="H283" s="81"/>
      <c r="I283" s="81"/>
      <c r="J283" s="81"/>
      <c r="K283" s="81"/>
      <c r="L283" s="81"/>
    </row>
    <row r="284" spans="1:12">
      <c r="A284"/>
      <c r="B284"/>
      <c r="C284"/>
      <c r="D284"/>
      <c r="E284"/>
      <c r="F284"/>
      <c r="H284" s="81"/>
      <c r="I284" s="81"/>
      <c r="J284" s="81"/>
      <c r="K284" s="81"/>
      <c r="L284" s="81"/>
    </row>
    <row r="285" spans="1:12">
      <c r="A285"/>
      <c r="B285"/>
      <c r="C285"/>
      <c r="D285"/>
      <c r="E285"/>
      <c r="F285"/>
      <c r="H285" s="81"/>
      <c r="I285" s="81"/>
      <c r="J285" s="81"/>
      <c r="K285" s="81"/>
      <c r="L285" s="81"/>
    </row>
    <row r="286" spans="1:12">
      <c r="A286"/>
      <c r="B286"/>
      <c r="C286"/>
      <c r="D286"/>
      <c r="E286"/>
      <c r="F286"/>
      <c r="H286" s="81"/>
      <c r="I286" s="81"/>
      <c r="J286" s="81"/>
      <c r="K286" s="81"/>
      <c r="L286" s="81"/>
    </row>
    <row r="287" spans="1:12">
      <c r="A287"/>
      <c r="B287"/>
      <c r="C287"/>
      <c r="D287"/>
      <c r="E287"/>
      <c r="F287"/>
      <c r="H287" s="81"/>
      <c r="I287" s="81"/>
      <c r="J287" s="81"/>
      <c r="K287" s="81"/>
      <c r="L287" s="81"/>
    </row>
    <row r="288" spans="1:12">
      <c r="A288"/>
      <c r="B288"/>
      <c r="C288"/>
      <c r="D288"/>
      <c r="E288"/>
      <c r="F288"/>
      <c r="H288" s="81"/>
      <c r="I288" s="81"/>
      <c r="J288" s="81"/>
      <c r="K288" s="81"/>
      <c r="L288" s="81"/>
    </row>
    <row r="289" spans="1:12">
      <c r="A289"/>
      <c r="B289"/>
      <c r="C289"/>
      <c r="D289"/>
      <c r="E289"/>
      <c r="F289"/>
      <c r="H289" s="81"/>
      <c r="I289" s="81"/>
      <c r="J289" s="81"/>
      <c r="K289" s="81"/>
      <c r="L289" s="81"/>
    </row>
    <row r="290" spans="1:12">
      <c r="A290"/>
      <c r="B290"/>
      <c r="C290"/>
      <c r="D290"/>
      <c r="E290"/>
      <c r="F290"/>
      <c r="H290" s="81"/>
      <c r="I290" s="81"/>
      <c r="J290" s="81"/>
      <c r="K290" s="81"/>
      <c r="L290" s="81"/>
    </row>
    <row r="291" spans="1:12">
      <c r="A291"/>
      <c r="B291"/>
      <c r="C291"/>
      <c r="D291"/>
      <c r="E291"/>
      <c r="F291"/>
      <c r="H291" s="81"/>
      <c r="I291" s="81"/>
      <c r="J291" s="81"/>
      <c r="K291" s="81"/>
      <c r="L291" s="81"/>
    </row>
    <row r="292" spans="1:12">
      <c r="A292"/>
      <c r="B292"/>
      <c r="C292"/>
      <c r="D292"/>
      <c r="E292"/>
      <c r="F292"/>
      <c r="H292" s="81"/>
      <c r="I292" s="81"/>
      <c r="J292" s="81"/>
      <c r="K292" s="81"/>
      <c r="L292" s="81"/>
    </row>
    <row r="293" spans="1:12">
      <c r="A293"/>
      <c r="B293"/>
      <c r="C293"/>
      <c r="D293"/>
      <c r="E293"/>
      <c r="F293"/>
      <c r="H293" s="81"/>
      <c r="I293" s="81"/>
      <c r="J293" s="81"/>
      <c r="K293" s="81"/>
      <c r="L293" s="81"/>
    </row>
    <row r="294" spans="1:12">
      <c r="A294"/>
      <c r="B294"/>
      <c r="C294"/>
      <c r="D294"/>
      <c r="E294"/>
      <c r="F294"/>
      <c r="H294" s="81"/>
      <c r="I294" s="81"/>
      <c r="J294" s="81"/>
      <c r="K294" s="81"/>
      <c r="L294" s="81"/>
    </row>
    <row r="295" spans="1:12">
      <c r="A295"/>
      <c r="B295"/>
      <c r="C295"/>
      <c r="D295"/>
      <c r="E295"/>
      <c r="F295"/>
      <c r="H295" s="81"/>
      <c r="I295" s="81"/>
      <c r="J295" s="81"/>
      <c r="K295" s="81"/>
      <c r="L295" s="81"/>
    </row>
    <row r="296" spans="1:12">
      <c r="A296"/>
      <c r="B296"/>
      <c r="C296"/>
      <c r="D296"/>
      <c r="E296"/>
      <c r="F296"/>
      <c r="H296" s="81"/>
      <c r="I296" s="81"/>
      <c r="J296" s="81"/>
      <c r="K296" s="81"/>
      <c r="L296" s="81"/>
    </row>
    <row r="297" spans="1:12">
      <c r="A297"/>
      <c r="B297"/>
      <c r="C297"/>
      <c r="D297"/>
      <c r="E297"/>
      <c r="F297"/>
      <c r="H297" s="81"/>
      <c r="I297" s="81"/>
      <c r="J297" s="81"/>
      <c r="K297" s="81"/>
      <c r="L297" s="81"/>
    </row>
    <row r="298" spans="1:12">
      <c r="A298"/>
      <c r="B298"/>
      <c r="C298"/>
      <c r="D298"/>
      <c r="E298"/>
      <c r="F298"/>
      <c r="H298" s="81"/>
      <c r="I298" s="81"/>
      <c r="J298" s="81"/>
      <c r="K298" s="81"/>
      <c r="L298" s="81"/>
    </row>
    <row r="299" spans="1:12">
      <c r="A299"/>
      <c r="B299"/>
      <c r="C299"/>
      <c r="D299"/>
      <c r="E299"/>
      <c r="F299"/>
      <c r="H299" s="81"/>
      <c r="I299" s="81"/>
      <c r="J299" s="81"/>
      <c r="K299" s="81"/>
      <c r="L299" s="81"/>
    </row>
    <row r="300" spans="1:12">
      <c r="A300"/>
      <c r="B300"/>
      <c r="C300"/>
      <c r="D300"/>
      <c r="E300"/>
      <c r="F300"/>
      <c r="H300" s="81"/>
      <c r="I300" s="81"/>
      <c r="J300" s="81"/>
      <c r="K300" s="81"/>
      <c r="L300" s="81"/>
    </row>
    <row r="301" spans="1:12">
      <c r="A301"/>
      <c r="B301"/>
      <c r="C301"/>
      <c r="D301"/>
      <c r="E301"/>
      <c r="F301"/>
      <c r="H301" s="81"/>
      <c r="I301" s="81"/>
      <c r="J301" s="81"/>
      <c r="K301" s="81"/>
      <c r="L301" s="81"/>
    </row>
    <row r="302" spans="1:12">
      <c r="A302"/>
      <c r="B302"/>
      <c r="C302"/>
      <c r="D302"/>
      <c r="E302"/>
      <c r="F302"/>
      <c r="H302" s="81"/>
      <c r="I302" s="81"/>
      <c r="J302" s="81"/>
      <c r="K302" s="81"/>
      <c r="L302" s="81"/>
    </row>
    <row r="303" spans="1:12">
      <c r="A303"/>
      <c r="B303"/>
      <c r="C303"/>
      <c r="D303"/>
      <c r="E303"/>
      <c r="F303"/>
      <c r="H303" s="81"/>
      <c r="I303" s="81"/>
      <c r="J303" s="81"/>
      <c r="K303" s="81"/>
      <c r="L303" s="81"/>
    </row>
    <row r="304" spans="1:12">
      <c r="A304"/>
      <c r="B304"/>
      <c r="C304"/>
      <c r="D304"/>
      <c r="E304"/>
      <c r="F304"/>
      <c r="H304" s="81"/>
      <c r="I304" s="81"/>
      <c r="J304" s="81"/>
      <c r="K304" s="81"/>
      <c r="L304" s="81"/>
    </row>
    <row r="305" spans="1:12">
      <c r="A305"/>
      <c r="B305"/>
      <c r="C305"/>
      <c r="D305"/>
      <c r="E305"/>
      <c r="F305"/>
      <c r="H305" s="81"/>
      <c r="I305" s="81"/>
      <c r="J305" s="81"/>
      <c r="K305" s="81"/>
      <c r="L305" s="81"/>
    </row>
    <row r="306" spans="1:12">
      <c r="A306"/>
      <c r="B306"/>
      <c r="C306"/>
      <c r="D306"/>
      <c r="E306"/>
      <c r="F306"/>
      <c r="H306" s="81"/>
      <c r="I306" s="81"/>
      <c r="J306" s="81"/>
      <c r="K306" s="81"/>
      <c r="L306" s="81"/>
    </row>
    <row r="307" spans="1:12">
      <c r="A307"/>
      <c r="B307"/>
      <c r="C307"/>
      <c r="D307"/>
      <c r="E307"/>
      <c r="F307"/>
      <c r="H307" s="81"/>
      <c r="I307" s="81"/>
      <c r="J307" s="81"/>
      <c r="K307" s="81"/>
      <c r="L307" s="81"/>
    </row>
    <row r="308" spans="1:12">
      <c r="A308"/>
      <c r="B308"/>
      <c r="C308"/>
      <c r="D308"/>
      <c r="E308"/>
      <c r="F308"/>
      <c r="H308" s="81"/>
      <c r="I308" s="81"/>
      <c r="J308" s="81"/>
      <c r="K308" s="81"/>
      <c r="L308" s="81"/>
    </row>
    <row r="309" spans="1:12">
      <c r="A309"/>
      <c r="B309"/>
      <c r="C309"/>
      <c r="D309"/>
      <c r="E309"/>
      <c r="F309"/>
      <c r="H309" s="81"/>
      <c r="I309" s="81"/>
      <c r="J309" s="81"/>
      <c r="K309" s="81"/>
      <c r="L309" s="81"/>
    </row>
    <row r="310" spans="1:12">
      <c r="A310"/>
      <c r="B310"/>
      <c r="C310"/>
      <c r="D310"/>
      <c r="E310"/>
      <c r="F310"/>
      <c r="H310" s="81"/>
      <c r="I310" s="81"/>
      <c r="J310" s="81"/>
      <c r="K310" s="81"/>
      <c r="L310" s="81"/>
    </row>
    <row r="311" spans="1:12">
      <c r="A311"/>
      <c r="B311"/>
      <c r="C311"/>
      <c r="D311"/>
      <c r="E311"/>
      <c r="F311"/>
      <c r="H311" s="81"/>
      <c r="I311" s="81"/>
      <c r="J311" s="81"/>
      <c r="K311" s="81"/>
      <c r="L311" s="81"/>
    </row>
    <row r="312" spans="1:12">
      <c r="A312"/>
      <c r="B312"/>
      <c r="C312"/>
      <c r="D312"/>
      <c r="E312"/>
      <c r="F312"/>
      <c r="H312" s="81"/>
      <c r="I312" s="81"/>
      <c r="J312" s="81"/>
      <c r="K312" s="81"/>
      <c r="L312" s="81"/>
    </row>
    <row r="313" spans="1:12">
      <c r="A313"/>
      <c r="B313"/>
      <c r="C313"/>
      <c r="D313"/>
      <c r="E313"/>
      <c r="F313"/>
      <c r="H313" s="81"/>
      <c r="I313" s="81"/>
      <c r="J313" s="81"/>
      <c r="K313" s="81"/>
      <c r="L313" s="81"/>
    </row>
    <row r="314" spans="1:12">
      <c r="A314"/>
      <c r="B314"/>
      <c r="C314"/>
      <c r="D314"/>
      <c r="E314"/>
      <c r="F314"/>
      <c r="H314" s="81"/>
      <c r="I314" s="81"/>
      <c r="J314" s="81"/>
      <c r="K314" s="81"/>
      <c r="L314" s="81"/>
    </row>
    <row r="315" spans="1:12">
      <c r="A315"/>
      <c r="B315"/>
      <c r="C315"/>
      <c r="D315"/>
      <c r="E315"/>
      <c r="F315"/>
      <c r="H315" s="81"/>
      <c r="I315" s="81"/>
      <c r="J315" s="81"/>
      <c r="K315" s="81"/>
      <c r="L315" s="81"/>
    </row>
    <row r="316" spans="1:12">
      <c r="A316"/>
      <c r="B316"/>
      <c r="C316"/>
      <c r="D316"/>
      <c r="E316"/>
      <c r="F316"/>
      <c r="H316" s="81"/>
      <c r="I316" s="81"/>
      <c r="J316" s="81"/>
      <c r="K316" s="81"/>
      <c r="L316" s="81"/>
    </row>
    <row r="317" spans="1:12">
      <c r="A317"/>
      <c r="B317"/>
      <c r="C317"/>
      <c r="D317"/>
      <c r="E317"/>
      <c r="F317"/>
      <c r="H317" s="81"/>
      <c r="I317" s="81"/>
      <c r="J317" s="81"/>
      <c r="K317" s="81"/>
      <c r="L317" s="81"/>
    </row>
    <row r="318" spans="1:12">
      <c r="A318"/>
      <c r="B318"/>
      <c r="C318"/>
      <c r="D318"/>
      <c r="E318"/>
      <c r="F318"/>
      <c r="H318" s="81"/>
      <c r="I318" s="81"/>
      <c r="J318" s="81"/>
      <c r="K318" s="81"/>
      <c r="L318" s="81"/>
    </row>
    <row r="319" spans="1:12">
      <c r="A319"/>
      <c r="B319"/>
      <c r="C319"/>
      <c r="D319"/>
      <c r="E319"/>
      <c r="F319"/>
      <c r="H319" s="81"/>
      <c r="I319" s="81"/>
      <c r="J319" s="81"/>
      <c r="K319" s="81"/>
      <c r="L319" s="81"/>
    </row>
    <row r="320" spans="1:12">
      <c r="A320"/>
      <c r="B320"/>
      <c r="C320"/>
      <c r="D320"/>
      <c r="E320"/>
      <c r="F320"/>
      <c r="H320" s="81"/>
      <c r="I320" s="81"/>
      <c r="J320" s="81"/>
      <c r="K320" s="81"/>
      <c r="L320" s="81"/>
    </row>
    <row r="321" spans="1:12">
      <c r="A321"/>
      <c r="B321"/>
      <c r="C321"/>
      <c r="D321"/>
      <c r="E321"/>
      <c r="F321"/>
      <c r="H321" s="81"/>
      <c r="I321" s="81"/>
      <c r="J321" s="81"/>
      <c r="K321" s="81"/>
      <c r="L321" s="81"/>
    </row>
    <row r="322" spans="1:12">
      <c r="A322"/>
      <c r="B322"/>
      <c r="C322"/>
      <c r="D322"/>
      <c r="E322"/>
      <c r="F322"/>
      <c r="H322" s="81"/>
      <c r="I322" s="81"/>
      <c r="J322" s="81"/>
      <c r="K322" s="81"/>
      <c r="L322" s="81"/>
    </row>
    <row r="323" spans="1:12">
      <c r="A323"/>
      <c r="B323"/>
      <c r="C323"/>
      <c r="D323"/>
      <c r="E323"/>
      <c r="F323"/>
      <c r="H323" s="81"/>
      <c r="I323" s="81"/>
      <c r="J323" s="81"/>
      <c r="K323" s="81"/>
      <c r="L323" s="81"/>
    </row>
    <row r="324" spans="1:12">
      <c r="A324"/>
      <c r="B324"/>
      <c r="C324"/>
      <c r="D324"/>
      <c r="E324"/>
      <c r="F324"/>
      <c r="H324" s="81"/>
      <c r="I324" s="81"/>
      <c r="J324" s="81"/>
      <c r="K324" s="81"/>
      <c r="L324" s="81"/>
    </row>
    <row r="325" spans="1:12">
      <c r="A325"/>
      <c r="B325"/>
      <c r="C325"/>
      <c r="D325"/>
      <c r="E325"/>
      <c r="F325"/>
      <c r="H325" s="81"/>
      <c r="I325" s="81"/>
      <c r="J325" s="81"/>
      <c r="K325" s="81"/>
      <c r="L325" s="81"/>
    </row>
    <row r="326" spans="1:12">
      <c r="A326"/>
      <c r="B326"/>
      <c r="C326"/>
      <c r="D326"/>
      <c r="E326"/>
      <c r="F326"/>
      <c r="H326" s="81"/>
      <c r="I326" s="81"/>
      <c r="J326" s="81"/>
      <c r="K326" s="81"/>
      <c r="L326" s="81"/>
    </row>
    <row r="327" spans="1:12">
      <c r="A327"/>
      <c r="B327"/>
      <c r="C327"/>
      <c r="D327"/>
      <c r="E327"/>
      <c r="F327"/>
      <c r="H327" s="81"/>
      <c r="I327" s="81"/>
      <c r="J327" s="81"/>
      <c r="K327" s="81"/>
      <c r="L327" s="81"/>
    </row>
    <row r="328" spans="1:12">
      <c r="A328"/>
      <c r="B328"/>
      <c r="C328"/>
      <c r="D328"/>
      <c r="E328"/>
      <c r="F328"/>
      <c r="H328" s="81"/>
      <c r="I328" s="81"/>
      <c r="J328" s="81"/>
      <c r="K328" s="81"/>
      <c r="L328" s="81"/>
    </row>
    <row r="329" spans="1:12">
      <c r="A329"/>
      <c r="B329"/>
      <c r="C329"/>
      <c r="D329"/>
      <c r="E329"/>
      <c r="F329"/>
      <c r="H329" s="81"/>
      <c r="I329" s="81"/>
      <c r="J329" s="81"/>
      <c r="K329" s="81"/>
      <c r="L329" s="81"/>
    </row>
    <row r="330" spans="1:12">
      <c r="A330"/>
      <c r="B330"/>
      <c r="C330"/>
      <c r="D330"/>
      <c r="E330"/>
      <c r="F330"/>
      <c r="H330" s="81"/>
      <c r="I330" s="81"/>
      <c r="J330" s="81"/>
      <c r="K330" s="81"/>
      <c r="L330" s="81"/>
    </row>
    <row r="331" spans="1:12">
      <c r="A331"/>
      <c r="B331"/>
      <c r="C331"/>
      <c r="D331"/>
      <c r="E331"/>
      <c r="F331"/>
      <c r="H331" s="81"/>
      <c r="I331" s="81"/>
      <c r="J331" s="81"/>
      <c r="K331" s="81"/>
      <c r="L331" s="81"/>
    </row>
    <row r="332" spans="1:12">
      <c r="A332"/>
      <c r="B332"/>
      <c r="C332"/>
      <c r="D332"/>
      <c r="E332"/>
      <c r="F332"/>
      <c r="H332" s="81"/>
      <c r="I332" s="81"/>
      <c r="J332" s="81"/>
      <c r="K332" s="81"/>
      <c r="L332" s="81"/>
    </row>
    <row r="333" spans="1:12">
      <c r="A333"/>
      <c r="B333"/>
      <c r="C333"/>
      <c r="D333"/>
      <c r="E333"/>
      <c r="F333"/>
      <c r="H333" s="81"/>
      <c r="I333" s="81"/>
      <c r="J333" s="81"/>
      <c r="K333" s="81"/>
      <c r="L333" s="81"/>
    </row>
    <row r="334" spans="1:12">
      <c r="A334"/>
      <c r="B334"/>
      <c r="C334"/>
      <c r="D334"/>
      <c r="E334"/>
      <c r="F334"/>
      <c r="H334" s="81"/>
      <c r="I334" s="81"/>
      <c r="J334" s="81"/>
      <c r="K334" s="81"/>
      <c r="L334" s="81"/>
    </row>
    <row r="335" spans="1:12">
      <c r="A335"/>
      <c r="B335"/>
      <c r="C335"/>
      <c r="D335"/>
      <c r="E335"/>
      <c r="F335"/>
      <c r="H335" s="81"/>
      <c r="I335" s="81"/>
      <c r="J335" s="81"/>
      <c r="K335" s="81"/>
      <c r="L335" s="81"/>
    </row>
    <row r="336" spans="1:12">
      <c r="A336"/>
      <c r="B336"/>
      <c r="C336"/>
      <c r="D336"/>
      <c r="E336"/>
      <c r="F336"/>
      <c r="H336" s="81"/>
      <c r="I336" s="81"/>
      <c r="J336" s="81"/>
      <c r="K336" s="81"/>
      <c r="L336" s="81"/>
    </row>
    <row r="337" spans="1:12">
      <c r="A337"/>
      <c r="B337"/>
      <c r="C337"/>
      <c r="D337"/>
      <c r="E337"/>
      <c r="F337"/>
      <c r="H337" s="81"/>
      <c r="I337" s="81"/>
      <c r="J337" s="81"/>
      <c r="K337" s="81"/>
      <c r="L337" s="81"/>
    </row>
    <row r="338" spans="1:12">
      <c r="A338"/>
      <c r="B338"/>
      <c r="C338"/>
      <c r="D338"/>
      <c r="E338"/>
      <c r="F338"/>
      <c r="H338" s="81"/>
      <c r="I338" s="81"/>
      <c r="J338" s="81"/>
      <c r="K338" s="81"/>
      <c r="L338" s="81"/>
    </row>
    <row r="339" spans="1:12">
      <c r="A339"/>
      <c r="B339"/>
      <c r="C339"/>
      <c r="D339"/>
      <c r="E339"/>
      <c r="F339"/>
      <c r="H339" s="81"/>
      <c r="I339" s="81"/>
      <c r="J339" s="81"/>
      <c r="K339" s="81"/>
      <c r="L339" s="81"/>
    </row>
    <row r="340" spans="1:12">
      <c r="A340"/>
      <c r="B340"/>
      <c r="C340"/>
      <c r="D340"/>
      <c r="E340"/>
      <c r="F340"/>
      <c r="H340" s="81"/>
      <c r="I340" s="81"/>
      <c r="J340" s="81"/>
      <c r="K340" s="81"/>
      <c r="L340" s="81"/>
    </row>
    <row r="341" spans="1:12">
      <c r="A341"/>
      <c r="B341"/>
      <c r="C341"/>
      <c r="D341"/>
      <c r="E341"/>
      <c r="F341"/>
      <c r="H341" s="81"/>
      <c r="I341" s="81"/>
      <c r="J341" s="81"/>
      <c r="K341" s="81"/>
      <c r="L341" s="81"/>
    </row>
    <row r="342" spans="1:12">
      <c r="A342"/>
      <c r="B342"/>
      <c r="C342"/>
      <c r="D342"/>
      <c r="E342"/>
      <c r="F342"/>
      <c r="H342" s="81"/>
      <c r="I342" s="81"/>
      <c r="J342" s="81"/>
      <c r="K342" s="81"/>
      <c r="L342" s="81"/>
    </row>
    <row r="343" spans="1:12">
      <c r="A343"/>
      <c r="B343"/>
      <c r="C343"/>
      <c r="D343"/>
      <c r="E343"/>
      <c r="F343"/>
      <c r="H343" s="81"/>
      <c r="I343" s="81"/>
      <c r="J343" s="81"/>
      <c r="K343" s="81"/>
      <c r="L343" s="81"/>
    </row>
    <row r="344" spans="1:12">
      <c r="A344"/>
      <c r="B344"/>
      <c r="C344"/>
      <c r="D344"/>
      <c r="E344"/>
      <c r="F344"/>
      <c r="H344" s="81"/>
      <c r="I344" s="81"/>
      <c r="J344" s="81"/>
      <c r="K344" s="81"/>
      <c r="L344" s="81"/>
    </row>
    <row r="345" spans="1:12">
      <c r="A345"/>
      <c r="B345"/>
      <c r="C345"/>
      <c r="D345"/>
      <c r="E345"/>
      <c r="F345"/>
      <c r="H345" s="81"/>
      <c r="I345" s="81"/>
      <c r="J345" s="81"/>
      <c r="K345" s="81"/>
      <c r="L345" s="81"/>
    </row>
    <row r="346" spans="1:12">
      <c r="A346"/>
      <c r="B346"/>
      <c r="C346"/>
      <c r="D346"/>
      <c r="E346"/>
      <c r="F346"/>
      <c r="H346" s="81"/>
      <c r="I346" s="81"/>
      <c r="J346" s="81"/>
      <c r="K346" s="81"/>
      <c r="L346" s="81"/>
    </row>
    <row r="347" spans="1:12">
      <c r="A347"/>
      <c r="B347"/>
      <c r="C347"/>
      <c r="D347"/>
      <c r="E347"/>
      <c r="F347"/>
      <c r="H347" s="81"/>
      <c r="I347" s="81"/>
      <c r="J347" s="81"/>
      <c r="K347" s="81"/>
      <c r="L347" s="81"/>
    </row>
    <row r="348" spans="1:12">
      <c r="A348"/>
      <c r="B348"/>
      <c r="C348"/>
      <c r="D348"/>
      <c r="E348"/>
      <c r="F348"/>
      <c r="H348" s="81"/>
      <c r="I348" s="81"/>
      <c r="J348" s="81"/>
      <c r="K348" s="81"/>
      <c r="L348" s="81"/>
    </row>
    <row r="349" spans="1:12">
      <c r="A349"/>
      <c r="B349"/>
      <c r="C349"/>
      <c r="D349"/>
      <c r="E349"/>
      <c r="F349"/>
      <c r="H349" s="81"/>
      <c r="I349" s="81"/>
      <c r="J349" s="81"/>
      <c r="K349" s="81"/>
      <c r="L349" s="81"/>
    </row>
    <row r="350" spans="1:12">
      <c r="A350"/>
      <c r="B350"/>
      <c r="C350"/>
      <c r="D350"/>
      <c r="E350"/>
      <c r="F350"/>
      <c r="H350" s="81"/>
      <c r="I350" s="81"/>
      <c r="J350" s="81"/>
      <c r="K350" s="81"/>
      <c r="L350" s="81"/>
    </row>
    <row r="351" spans="1:12">
      <c r="A351"/>
      <c r="B351"/>
      <c r="C351"/>
      <c r="D351"/>
      <c r="E351"/>
      <c r="F351"/>
      <c r="H351" s="81"/>
      <c r="I351" s="81"/>
      <c r="J351" s="81"/>
      <c r="K351" s="81"/>
      <c r="L351" s="81"/>
    </row>
    <row r="352" spans="1:12">
      <c r="A352"/>
      <c r="B352"/>
      <c r="C352"/>
      <c r="D352"/>
      <c r="E352"/>
      <c r="F352"/>
      <c r="H352" s="81"/>
      <c r="I352" s="81"/>
      <c r="J352" s="81"/>
      <c r="K352" s="81"/>
      <c r="L352" s="81"/>
    </row>
    <row r="353" spans="1:12">
      <c r="A353"/>
      <c r="B353"/>
      <c r="C353"/>
      <c r="D353"/>
      <c r="E353"/>
      <c r="F353"/>
      <c r="H353" s="81"/>
      <c r="I353" s="81"/>
      <c r="J353" s="81"/>
      <c r="K353" s="81"/>
      <c r="L353" s="81"/>
    </row>
    <row r="354" spans="1:12">
      <c r="A354"/>
      <c r="B354"/>
      <c r="C354"/>
      <c r="D354"/>
      <c r="E354"/>
      <c r="F354"/>
      <c r="H354" s="81"/>
      <c r="I354" s="81"/>
      <c r="J354" s="81"/>
      <c r="K354" s="81"/>
      <c r="L354" s="81"/>
    </row>
    <row r="355" spans="1:12">
      <c r="A355"/>
      <c r="B355"/>
      <c r="C355"/>
      <c r="D355"/>
      <c r="E355"/>
      <c r="F355"/>
      <c r="H355" s="81"/>
      <c r="I355" s="81"/>
      <c r="J355" s="81"/>
      <c r="K355" s="81"/>
      <c r="L355" s="81"/>
    </row>
    <row r="356" spans="1:12">
      <c r="A356"/>
      <c r="B356"/>
      <c r="C356"/>
      <c r="D356"/>
      <c r="E356"/>
      <c r="F356"/>
      <c r="H356" s="81"/>
      <c r="I356" s="81"/>
      <c r="J356" s="81"/>
      <c r="K356" s="81"/>
      <c r="L356" s="81"/>
    </row>
    <row r="357" spans="1:12">
      <c r="A357"/>
      <c r="B357"/>
      <c r="C357"/>
      <c r="D357"/>
      <c r="E357"/>
      <c r="F357"/>
      <c r="H357" s="81"/>
      <c r="I357" s="81"/>
      <c r="J357" s="81"/>
      <c r="K357" s="81"/>
      <c r="L357" s="81"/>
    </row>
    <row r="358" spans="1:12">
      <c r="A358"/>
      <c r="B358"/>
      <c r="C358"/>
      <c r="D358"/>
      <c r="E358"/>
      <c r="F358"/>
      <c r="H358" s="81"/>
      <c r="I358" s="81"/>
      <c r="J358" s="81"/>
      <c r="K358" s="81"/>
      <c r="L358" s="81"/>
    </row>
    <row r="359" spans="1:12">
      <c r="A359"/>
      <c r="B359"/>
      <c r="C359"/>
      <c r="D359"/>
      <c r="E359"/>
      <c r="F359"/>
      <c r="H359" s="81"/>
      <c r="I359" s="81"/>
      <c r="J359" s="81"/>
      <c r="K359" s="81"/>
      <c r="L359" s="81"/>
    </row>
    <row r="360" spans="1:12">
      <c r="A360"/>
      <c r="B360"/>
      <c r="C360"/>
      <c r="D360"/>
      <c r="E360"/>
      <c r="F360"/>
      <c r="H360" s="81"/>
      <c r="I360" s="81"/>
      <c r="J360" s="81"/>
      <c r="K360" s="81"/>
      <c r="L360" s="81"/>
    </row>
    <row r="361" spans="1:12">
      <c r="A361"/>
      <c r="B361"/>
      <c r="C361"/>
      <c r="D361"/>
      <c r="E361"/>
      <c r="F361"/>
      <c r="H361" s="81"/>
      <c r="I361" s="81"/>
      <c r="J361" s="81"/>
      <c r="K361" s="81"/>
      <c r="L361" s="81"/>
    </row>
    <row r="362" spans="1:12">
      <c r="A362"/>
      <c r="B362"/>
      <c r="C362"/>
      <c r="D362"/>
      <c r="E362"/>
      <c r="F362"/>
      <c r="H362" s="81"/>
      <c r="I362" s="81"/>
      <c r="J362" s="81"/>
      <c r="K362" s="81"/>
      <c r="L362" s="81"/>
    </row>
    <row r="363" spans="1:12">
      <c r="A363"/>
      <c r="B363"/>
      <c r="C363"/>
      <c r="D363"/>
      <c r="E363"/>
      <c r="F363"/>
      <c r="H363" s="81"/>
      <c r="I363" s="81"/>
      <c r="J363" s="81"/>
      <c r="K363" s="81"/>
      <c r="L363" s="81"/>
    </row>
    <row r="364" spans="1:12">
      <c r="A364"/>
      <c r="B364"/>
      <c r="C364"/>
      <c r="D364"/>
      <c r="E364"/>
      <c r="F364"/>
      <c r="H364" s="81"/>
      <c r="I364" s="81"/>
      <c r="J364" s="81"/>
      <c r="K364" s="81"/>
      <c r="L364" s="81"/>
    </row>
    <row r="365" spans="1:12">
      <c r="A365"/>
      <c r="B365"/>
      <c r="C365"/>
      <c r="D365"/>
      <c r="E365"/>
      <c r="F365"/>
      <c r="H365" s="81"/>
      <c r="I365" s="81"/>
      <c r="J365" s="81"/>
      <c r="K365" s="81"/>
      <c r="L365" s="81"/>
    </row>
    <row r="366" spans="1:12">
      <c r="A366"/>
      <c r="B366"/>
      <c r="C366"/>
      <c r="D366"/>
      <c r="E366"/>
      <c r="F366"/>
      <c r="H366" s="81"/>
      <c r="I366" s="81"/>
      <c r="J366" s="81"/>
      <c r="K366" s="81"/>
      <c r="L366" s="81"/>
    </row>
    <row r="367" spans="1:12">
      <c r="A367"/>
      <c r="B367"/>
      <c r="C367"/>
      <c r="D367"/>
      <c r="E367"/>
      <c r="F367"/>
      <c r="H367" s="81"/>
      <c r="I367" s="81"/>
      <c r="J367" s="81"/>
      <c r="K367" s="81"/>
      <c r="L367" s="81"/>
    </row>
    <row r="368" spans="1:12">
      <c r="A368"/>
      <c r="B368"/>
      <c r="C368"/>
      <c r="D368"/>
      <c r="E368"/>
      <c r="F368"/>
      <c r="H368" s="81"/>
      <c r="I368" s="81"/>
      <c r="J368" s="81"/>
      <c r="K368" s="81"/>
      <c r="L368" s="81"/>
    </row>
    <row r="369" spans="1:12">
      <c r="A369"/>
      <c r="B369"/>
      <c r="C369"/>
      <c r="D369"/>
      <c r="E369"/>
      <c r="F369"/>
      <c r="H369" s="81"/>
      <c r="I369" s="81"/>
      <c r="J369" s="81"/>
      <c r="K369" s="81"/>
      <c r="L369" s="81"/>
    </row>
    <row r="370" spans="1:12">
      <c r="A370"/>
      <c r="B370"/>
      <c r="C370"/>
      <c r="D370"/>
      <c r="E370"/>
      <c r="F370"/>
      <c r="H370" s="81"/>
      <c r="I370" s="81"/>
      <c r="J370" s="81"/>
      <c r="K370" s="81"/>
      <c r="L370" s="81"/>
    </row>
    <row r="371" spans="1:12">
      <c r="A371"/>
      <c r="B371"/>
      <c r="C371"/>
      <c r="D371"/>
      <c r="E371"/>
      <c r="F371"/>
      <c r="H371" s="81"/>
      <c r="I371" s="81"/>
      <c r="J371" s="81"/>
      <c r="K371" s="81"/>
      <c r="L371" s="81"/>
    </row>
    <row r="372" spans="1:12">
      <c r="A372"/>
      <c r="B372"/>
      <c r="C372"/>
      <c r="D372"/>
      <c r="E372"/>
      <c r="F372"/>
      <c r="H372" s="81"/>
      <c r="I372" s="81"/>
      <c r="J372" s="81"/>
      <c r="K372" s="81"/>
      <c r="L372" s="81"/>
    </row>
    <row r="373" spans="1:12">
      <c r="A373"/>
      <c r="B373"/>
      <c r="C373"/>
      <c r="D373"/>
      <c r="E373"/>
      <c r="F373"/>
      <c r="H373" s="81"/>
      <c r="I373" s="81"/>
      <c r="J373" s="81"/>
      <c r="K373" s="81"/>
      <c r="L373" s="81"/>
    </row>
    <row r="374" spans="1:12">
      <c r="A374"/>
      <c r="B374"/>
      <c r="C374"/>
      <c r="D374"/>
      <c r="E374"/>
      <c r="F374"/>
      <c r="H374" s="81"/>
      <c r="I374" s="81"/>
      <c r="J374" s="81"/>
      <c r="K374" s="81"/>
      <c r="L374" s="81"/>
    </row>
    <row r="375" spans="1:12">
      <c r="A375"/>
      <c r="B375"/>
      <c r="C375"/>
      <c r="D375"/>
      <c r="E375"/>
      <c r="F375"/>
      <c r="H375" s="81"/>
      <c r="I375" s="81"/>
      <c r="J375" s="81"/>
      <c r="K375" s="81"/>
      <c r="L375" s="81"/>
    </row>
    <row r="376" spans="1:12">
      <c r="A376"/>
      <c r="B376"/>
      <c r="C376"/>
      <c r="D376"/>
      <c r="E376"/>
      <c r="F376"/>
      <c r="H376" s="81"/>
      <c r="I376" s="81"/>
      <c r="J376" s="81"/>
      <c r="K376" s="81"/>
      <c r="L376" s="81"/>
    </row>
    <row r="377" spans="1:12">
      <c r="A377"/>
      <c r="B377"/>
      <c r="C377"/>
      <c r="D377"/>
      <c r="E377"/>
      <c r="F377"/>
      <c r="H377" s="81"/>
      <c r="I377" s="81"/>
      <c r="J377" s="81"/>
      <c r="K377" s="81"/>
      <c r="L377" s="81"/>
    </row>
    <row r="378" spans="1:12">
      <c r="A378"/>
      <c r="B378"/>
      <c r="C378"/>
      <c r="D378"/>
      <c r="E378"/>
      <c r="F378"/>
      <c r="H378" s="81"/>
      <c r="I378" s="81"/>
      <c r="J378" s="81"/>
      <c r="K378" s="81"/>
      <c r="L378" s="81"/>
    </row>
    <row r="379" spans="1:12">
      <c r="A379"/>
      <c r="B379"/>
      <c r="C379"/>
      <c r="D379"/>
      <c r="E379"/>
      <c r="F379"/>
      <c r="H379" s="81"/>
      <c r="I379" s="81"/>
      <c r="J379" s="81"/>
      <c r="K379" s="81"/>
      <c r="L379" s="81"/>
    </row>
    <row r="380" spans="1:12">
      <c r="A380"/>
      <c r="B380"/>
      <c r="C380"/>
      <c r="D380"/>
      <c r="E380"/>
      <c r="F380"/>
      <c r="H380" s="81"/>
      <c r="I380" s="81"/>
      <c r="J380" s="81"/>
      <c r="K380" s="81"/>
      <c r="L380" s="81"/>
    </row>
    <row r="381" spans="1:12">
      <c r="A381"/>
      <c r="B381"/>
      <c r="C381"/>
      <c r="D381"/>
      <c r="E381"/>
      <c r="F381"/>
      <c r="H381" s="81"/>
      <c r="I381" s="81"/>
      <c r="J381" s="81"/>
      <c r="K381" s="81"/>
      <c r="L381" s="81"/>
    </row>
    <row r="382" spans="1:12">
      <c r="A382"/>
      <c r="B382"/>
      <c r="C382"/>
      <c r="D382"/>
      <c r="E382"/>
      <c r="F382"/>
      <c r="H382" s="81"/>
      <c r="I382" s="81"/>
      <c r="J382" s="81"/>
      <c r="K382" s="81"/>
      <c r="L382" s="81"/>
    </row>
    <row r="383" spans="1:12">
      <c r="A383"/>
      <c r="B383"/>
      <c r="C383"/>
      <c r="D383"/>
      <c r="E383"/>
      <c r="F383"/>
      <c r="H383" s="81"/>
      <c r="I383" s="81"/>
      <c r="J383" s="81"/>
      <c r="K383" s="81"/>
      <c r="L383" s="81"/>
    </row>
    <row r="384" spans="1:12">
      <c r="A384"/>
      <c r="B384"/>
      <c r="C384"/>
      <c r="D384"/>
      <c r="E384"/>
      <c r="F384"/>
      <c r="H384" s="81"/>
      <c r="I384" s="81"/>
      <c r="J384" s="81"/>
      <c r="K384" s="81"/>
      <c r="L384" s="81"/>
    </row>
    <row r="385" spans="1:12">
      <c r="A385"/>
      <c r="B385"/>
      <c r="C385"/>
      <c r="D385"/>
      <c r="E385"/>
      <c r="F385"/>
      <c r="H385" s="81"/>
      <c r="I385" s="81"/>
      <c r="J385" s="81"/>
      <c r="K385" s="81"/>
      <c r="L385" s="81"/>
    </row>
    <row r="386" spans="1:12">
      <c r="A386"/>
      <c r="B386"/>
      <c r="C386"/>
      <c r="D386"/>
      <c r="E386"/>
      <c r="F386"/>
      <c r="H386" s="81"/>
      <c r="I386" s="81"/>
      <c r="J386" s="81"/>
      <c r="K386" s="81"/>
      <c r="L386" s="81"/>
    </row>
    <row r="387" spans="1:12">
      <c r="A387"/>
      <c r="B387"/>
      <c r="C387"/>
      <c r="D387"/>
      <c r="E387"/>
      <c r="F387"/>
      <c r="H387" s="81"/>
      <c r="I387" s="81"/>
      <c r="J387" s="81"/>
      <c r="K387" s="81"/>
      <c r="L387" s="81"/>
    </row>
    <row r="388" spans="1:12">
      <c r="A388"/>
      <c r="B388"/>
      <c r="C388"/>
      <c r="D388"/>
      <c r="E388"/>
      <c r="F388"/>
      <c r="H388" s="81"/>
      <c r="I388" s="81"/>
      <c r="J388" s="81"/>
      <c r="K388" s="81"/>
      <c r="L388" s="81"/>
    </row>
    <row r="389" spans="1:12">
      <c r="A389"/>
      <c r="B389"/>
      <c r="C389"/>
      <c r="D389"/>
      <c r="E389"/>
      <c r="F389"/>
      <c r="H389" s="81"/>
      <c r="I389" s="81"/>
      <c r="J389" s="81"/>
      <c r="K389" s="81"/>
      <c r="L389" s="81"/>
    </row>
    <row r="390" spans="1:12">
      <c r="A390"/>
      <c r="B390"/>
      <c r="C390"/>
      <c r="D390"/>
      <c r="E390"/>
      <c r="F390"/>
      <c r="H390" s="81"/>
      <c r="I390" s="81"/>
      <c r="J390" s="81"/>
      <c r="K390" s="81"/>
      <c r="L390" s="81"/>
    </row>
    <row r="391" spans="1:12">
      <c r="A391"/>
      <c r="B391"/>
      <c r="C391"/>
      <c r="D391"/>
      <c r="E391"/>
      <c r="F391"/>
      <c r="H391" s="81"/>
      <c r="I391" s="81"/>
      <c r="J391" s="81"/>
      <c r="K391" s="81"/>
      <c r="L391" s="81"/>
    </row>
    <row r="392" spans="1:12">
      <c r="A392"/>
      <c r="B392"/>
      <c r="C392"/>
      <c r="D392"/>
      <c r="E392"/>
      <c r="F392"/>
      <c r="H392" s="81"/>
      <c r="I392" s="81"/>
      <c r="J392" s="81"/>
      <c r="K392" s="81"/>
      <c r="L392" s="81"/>
    </row>
    <row r="393" spans="1:12">
      <c r="A393"/>
      <c r="B393"/>
      <c r="C393"/>
      <c r="D393"/>
      <c r="E393"/>
      <c r="F393"/>
      <c r="H393" s="81"/>
      <c r="I393" s="81"/>
      <c r="J393" s="81"/>
      <c r="K393" s="81"/>
      <c r="L393" s="81"/>
    </row>
    <row r="394" spans="1:12">
      <c r="A394"/>
      <c r="B394"/>
      <c r="C394"/>
      <c r="D394"/>
      <c r="E394"/>
      <c r="F394"/>
      <c r="H394" s="81"/>
      <c r="I394" s="81"/>
      <c r="J394" s="81"/>
      <c r="K394" s="81"/>
      <c r="L394" s="81"/>
    </row>
    <row r="395" spans="1:12">
      <c r="A395"/>
      <c r="B395"/>
      <c r="C395"/>
      <c r="D395"/>
      <c r="E395"/>
      <c r="F395"/>
      <c r="H395" s="81"/>
      <c r="I395" s="81"/>
      <c r="J395" s="81"/>
      <c r="K395" s="81"/>
      <c r="L395" s="81"/>
    </row>
    <row r="396" spans="1:12">
      <c r="A396"/>
      <c r="B396"/>
      <c r="C396"/>
      <c r="D396"/>
      <c r="E396"/>
      <c r="F396"/>
      <c r="H396" s="81"/>
      <c r="I396" s="81"/>
      <c r="J396" s="81"/>
      <c r="K396" s="81"/>
      <c r="L396" s="81"/>
    </row>
    <row r="397" spans="1:12">
      <c r="A397"/>
      <c r="B397"/>
      <c r="C397"/>
      <c r="D397"/>
      <c r="E397"/>
      <c r="F397"/>
      <c r="H397" s="81"/>
      <c r="I397" s="81"/>
      <c r="J397" s="81"/>
      <c r="K397" s="81"/>
      <c r="L397" s="81"/>
    </row>
    <row r="398" spans="1:12">
      <c r="A398"/>
      <c r="B398"/>
      <c r="C398"/>
      <c r="D398"/>
      <c r="E398"/>
      <c r="F398"/>
      <c r="H398" s="81"/>
      <c r="I398" s="81"/>
      <c r="J398" s="81"/>
      <c r="K398" s="81"/>
      <c r="L398" s="81"/>
    </row>
    <row r="399" spans="1:12">
      <c r="A399"/>
      <c r="B399"/>
      <c r="C399"/>
      <c r="D399"/>
      <c r="E399"/>
      <c r="F399"/>
      <c r="H399" s="81"/>
      <c r="I399" s="81"/>
      <c r="J399" s="81"/>
      <c r="K399" s="81"/>
      <c r="L399" s="81"/>
    </row>
    <row r="400" spans="1:12">
      <c r="A400"/>
      <c r="B400"/>
      <c r="C400"/>
      <c r="D400"/>
      <c r="E400"/>
      <c r="F400"/>
      <c r="H400" s="81"/>
      <c r="I400" s="81"/>
      <c r="J400" s="81"/>
      <c r="K400" s="81"/>
      <c r="L400" s="81"/>
    </row>
    <row r="401" spans="1:12">
      <c r="A401"/>
      <c r="B401"/>
      <c r="C401"/>
      <c r="D401"/>
      <c r="E401"/>
      <c r="F401"/>
      <c r="H401" s="81"/>
      <c r="I401" s="81"/>
      <c r="J401" s="81"/>
      <c r="K401" s="81"/>
      <c r="L401" s="81"/>
    </row>
    <row r="402" spans="1:12">
      <c r="A402"/>
      <c r="B402"/>
      <c r="C402"/>
      <c r="D402"/>
      <c r="E402"/>
      <c r="F402"/>
      <c r="H402" s="81"/>
      <c r="I402" s="81"/>
      <c r="J402" s="81"/>
      <c r="K402" s="81"/>
      <c r="L402" s="81"/>
    </row>
    <row r="403" spans="1:12">
      <c r="A403"/>
      <c r="B403"/>
      <c r="C403"/>
      <c r="D403"/>
      <c r="E403"/>
      <c r="F403"/>
      <c r="H403" s="81"/>
      <c r="I403" s="81"/>
      <c r="J403" s="81"/>
      <c r="K403" s="81"/>
      <c r="L403" s="81"/>
    </row>
    <row r="404" spans="1:12">
      <c r="A404"/>
      <c r="B404"/>
      <c r="C404"/>
      <c r="D404"/>
      <c r="E404"/>
      <c r="F404"/>
      <c r="H404" s="81"/>
      <c r="I404" s="81"/>
      <c r="J404" s="81"/>
      <c r="K404" s="81"/>
      <c r="L404" s="81"/>
    </row>
    <row r="405" spans="1:12">
      <c r="A405"/>
      <c r="B405"/>
      <c r="C405"/>
      <c r="D405"/>
      <c r="E405"/>
      <c r="F405"/>
      <c r="H405" s="81"/>
      <c r="I405" s="81"/>
      <c r="J405" s="81"/>
      <c r="K405" s="81"/>
      <c r="L405" s="81"/>
    </row>
    <row r="406" spans="1:12">
      <c r="A406"/>
      <c r="B406"/>
      <c r="C406"/>
      <c r="D406"/>
      <c r="E406"/>
      <c r="F406"/>
      <c r="H406" s="81"/>
      <c r="I406" s="81"/>
      <c r="J406" s="81"/>
      <c r="K406" s="81"/>
      <c r="L406" s="81"/>
    </row>
    <row r="407" spans="1:12">
      <c r="A407"/>
      <c r="B407"/>
      <c r="C407"/>
      <c r="D407"/>
      <c r="E407"/>
      <c r="F407"/>
      <c r="H407" s="81"/>
      <c r="I407" s="81"/>
      <c r="J407" s="81"/>
      <c r="K407" s="81"/>
      <c r="L407" s="81"/>
    </row>
    <row r="408" spans="1:12">
      <c r="A408"/>
      <c r="B408"/>
      <c r="C408"/>
      <c r="D408"/>
      <c r="E408"/>
      <c r="F408"/>
      <c r="H408" s="81"/>
      <c r="I408" s="81"/>
      <c r="J408" s="81"/>
      <c r="K408" s="81"/>
      <c r="L408" s="81"/>
    </row>
    <row r="409" spans="1:12">
      <c r="A409"/>
      <c r="B409"/>
      <c r="C409"/>
      <c r="D409"/>
      <c r="E409"/>
      <c r="F409"/>
      <c r="H409" s="81"/>
      <c r="I409" s="81"/>
      <c r="J409" s="81"/>
      <c r="K409" s="81"/>
      <c r="L409" s="81"/>
    </row>
    <row r="410" spans="1:12">
      <c r="A410"/>
      <c r="B410"/>
      <c r="C410"/>
      <c r="D410"/>
      <c r="E410"/>
      <c r="F410"/>
      <c r="H410" s="81"/>
      <c r="I410" s="81"/>
      <c r="J410" s="81"/>
      <c r="K410" s="81"/>
      <c r="L410" s="81"/>
    </row>
    <row r="411" spans="1:12">
      <c r="A411"/>
      <c r="B411"/>
      <c r="C411"/>
      <c r="D411"/>
      <c r="E411"/>
      <c r="F411"/>
      <c r="H411" s="81"/>
      <c r="I411" s="81"/>
      <c r="J411" s="81"/>
      <c r="K411" s="81"/>
      <c r="L411" s="81"/>
    </row>
    <row r="412" spans="1:12">
      <c r="A412"/>
      <c r="B412"/>
      <c r="C412"/>
      <c r="D412"/>
      <c r="E412"/>
      <c r="F412"/>
      <c r="H412" s="81"/>
      <c r="I412" s="81"/>
      <c r="J412" s="81"/>
      <c r="K412" s="81"/>
      <c r="L412" s="81"/>
    </row>
    <row r="413" spans="1:12">
      <c r="A413"/>
      <c r="B413"/>
      <c r="C413"/>
      <c r="D413"/>
      <c r="E413"/>
      <c r="F413"/>
      <c r="H413" s="81"/>
      <c r="I413" s="81"/>
      <c r="J413" s="81"/>
      <c r="K413" s="81"/>
      <c r="L413" s="81"/>
    </row>
    <row r="414" spans="1:12">
      <c r="A414"/>
      <c r="B414"/>
      <c r="C414"/>
      <c r="D414"/>
      <c r="E414"/>
      <c r="F414"/>
      <c r="H414" s="81"/>
      <c r="I414" s="81"/>
      <c r="J414" s="81"/>
      <c r="K414" s="81"/>
      <c r="L414" s="81"/>
    </row>
    <row r="415" spans="1:12">
      <c r="A415"/>
      <c r="B415"/>
      <c r="C415"/>
      <c r="D415"/>
      <c r="E415"/>
      <c r="F415"/>
      <c r="H415" s="81"/>
      <c r="I415" s="81"/>
      <c r="J415" s="81"/>
      <c r="K415" s="81"/>
      <c r="L415" s="81"/>
    </row>
    <row r="416" spans="1:12">
      <c r="A416"/>
      <c r="B416"/>
      <c r="C416"/>
      <c r="D416"/>
      <c r="E416"/>
      <c r="F416"/>
      <c r="H416" s="81"/>
      <c r="I416" s="81"/>
      <c r="J416" s="81"/>
      <c r="K416" s="81"/>
      <c r="L416" s="81"/>
    </row>
    <row r="417" spans="1:12">
      <c r="A417"/>
      <c r="B417"/>
      <c r="C417"/>
      <c r="D417"/>
      <c r="E417"/>
      <c r="F417"/>
      <c r="H417" s="81"/>
      <c r="I417" s="81"/>
      <c r="J417" s="81"/>
      <c r="K417" s="81"/>
      <c r="L417" s="81"/>
    </row>
    <row r="418" spans="1:12">
      <c r="A418"/>
      <c r="B418"/>
      <c r="C418"/>
      <c r="D418"/>
      <c r="E418"/>
      <c r="F418"/>
      <c r="H418" s="81"/>
      <c r="I418" s="81"/>
      <c r="J418" s="81"/>
      <c r="K418" s="81"/>
      <c r="L418" s="81"/>
    </row>
    <row r="419" spans="1:12">
      <c r="A419"/>
      <c r="B419"/>
      <c r="C419"/>
      <c r="D419"/>
      <c r="E419"/>
      <c r="F419"/>
      <c r="H419" s="81"/>
      <c r="I419" s="81"/>
      <c r="J419" s="81"/>
      <c r="K419" s="81"/>
      <c r="L419" s="81"/>
    </row>
    <row r="420" spans="1:12">
      <c r="A420"/>
      <c r="B420"/>
      <c r="C420"/>
      <c r="D420"/>
      <c r="E420"/>
      <c r="F420"/>
      <c r="H420" s="81"/>
      <c r="I420" s="81"/>
      <c r="J420" s="81"/>
      <c r="K420" s="81"/>
      <c r="L420" s="81"/>
    </row>
    <row r="421" spans="1:12">
      <c r="A421"/>
      <c r="B421"/>
      <c r="C421"/>
      <c r="D421"/>
      <c r="E421"/>
      <c r="F421"/>
      <c r="H421" s="81"/>
      <c r="I421" s="81"/>
      <c r="J421" s="81"/>
      <c r="K421" s="81"/>
      <c r="L421" s="81"/>
    </row>
    <row r="422" spans="1:12">
      <c r="A422"/>
      <c r="B422"/>
      <c r="C422"/>
      <c r="D422"/>
      <c r="E422"/>
      <c r="F422"/>
      <c r="H422" s="81"/>
      <c r="I422" s="81"/>
      <c r="J422" s="81"/>
      <c r="K422" s="81"/>
      <c r="L422" s="81"/>
    </row>
    <row r="423" spans="1:12">
      <c r="A423"/>
      <c r="B423"/>
      <c r="C423"/>
      <c r="D423"/>
      <c r="E423"/>
      <c r="F423"/>
      <c r="H423" s="81"/>
      <c r="I423" s="81"/>
      <c r="J423" s="81"/>
      <c r="K423" s="81"/>
      <c r="L423" s="81"/>
    </row>
    <row r="424" spans="1:12">
      <c r="A424"/>
      <c r="B424"/>
      <c r="C424"/>
      <c r="D424"/>
      <c r="E424"/>
      <c r="F424"/>
      <c r="H424" s="81"/>
      <c r="I424" s="81"/>
      <c r="J424" s="81"/>
      <c r="K424" s="81"/>
      <c r="L424" s="81"/>
    </row>
    <row r="425" spans="1:12">
      <c r="A425"/>
      <c r="B425"/>
      <c r="C425"/>
      <c r="D425"/>
      <c r="E425"/>
      <c r="F425"/>
      <c r="H425" s="81"/>
      <c r="I425" s="81"/>
      <c r="J425" s="81"/>
      <c r="K425" s="81"/>
      <c r="L425" s="81"/>
    </row>
    <row r="426" spans="1:12">
      <c r="A426"/>
      <c r="B426"/>
      <c r="C426"/>
      <c r="D426"/>
      <c r="E426"/>
      <c r="F426"/>
      <c r="H426" s="81"/>
      <c r="I426" s="81"/>
      <c r="J426" s="81"/>
      <c r="K426" s="81"/>
      <c r="L426" s="81"/>
    </row>
    <row r="427" spans="1:12">
      <c r="A427"/>
      <c r="B427"/>
      <c r="C427"/>
      <c r="D427"/>
      <c r="E427"/>
      <c r="F427"/>
      <c r="H427" s="81"/>
      <c r="I427" s="81"/>
      <c r="J427" s="81"/>
      <c r="K427" s="81"/>
      <c r="L427" s="81"/>
    </row>
    <row r="428" spans="1:12">
      <c r="A428"/>
      <c r="B428"/>
      <c r="C428"/>
      <c r="D428"/>
      <c r="E428"/>
      <c r="F428"/>
      <c r="H428" s="81"/>
      <c r="I428" s="81"/>
      <c r="J428" s="81"/>
      <c r="K428" s="81"/>
      <c r="L428" s="81"/>
    </row>
    <row r="429" spans="1:12">
      <c r="A429"/>
      <c r="B429"/>
      <c r="C429"/>
      <c r="D429"/>
      <c r="E429"/>
      <c r="F429"/>
      <c r="H429" s="81"/>
      <c r="I429" s="81"/>
      <c r="J429" s="81"/>
      <c r="K429" s="81"/>
      <c r="L429" s="81"/>
    </row>
    <row r="430" spans="1:12">
      <c r="A430"/>
      <c r="B430"/>
      <c r="C430"/>
      <c r="D430"/>
      <c r="E430"/>
      <c r="F430"/>
      <c r="H430" s="81"/>
      <c r="I430" s="81"/>
      <c r="J430" s="81"/>
      <c r="K430" s="81"/>
      <c r="L430" s="81"/>
    </row>
    <row r="431" spans="1:12">
      <c r="A431"/>
      <c r="B431"/>
      <c r="C431"/>
      <c r="D431"/>
      <c r="E431"/>
      <c r="F431"/>
      <c r="H431" s="81"/>
      <c r="I431" s="81"/>
      <c r="J431" s="81"/>
      <c r="K431" s="81"/>
      <c r="L431" s="81"/>
    </row>
    <row r="432" spans="1:12">
      <c r="A432"/>
      <c r="B432"/>
      <c r="C432"/>
      <c r="D432"/>
      <c r="E432"/>
      <c r="F432"/>
      <c r="H432" s="81"/>
      <c r="I432" s="81"/>
      <c r="J432" s="81"/>
      <c r="K432" s="81"/>
      <c r="L432" s="81"/>
    </row>
    <row r="433" spans="1:12">
      <c r="A433"/>
      <c r="B433"/>
      <c r="C433"/>
      <c r="D433"/>
      <c r="E433"/>
      <c r="F433"/>
      <c r="H433" s="81"/>
      <c r="I433" s="81"/>
      <c r="J433" s="81"/>
      <c r="K433" s="81"/>
      <c r="L433" s="81"/>
    </row>
    <row r="434" spans="1:12">
      <c r="A434"/>
      <c r="B434"/>
      <c r="C434"/>
      <c r="D434"/>
      <c r="E434"/>
      <c r="F434"/>
      <c r="H434" s="81"/>
      <c r="I434" s="81"/>
      <c r="J434" s="81"/>
      <c r="K434" s="81"/>
      <c r="L434" s="81"/>
    </row>
    <row r="435" spans="1:12">
      <c r="A435"/>
      <c r="B435"/>
      <c r="C435"/>
      <c r="D435"/>
      <c r="E435"/>
      <c r="F435"/>
      <c r="H435" s="81"/>
      <c r="I435" s="81"/>
      <c r="J435" s="81"/>
      <c r="K435" s="81"/>
      <c r="L435" s="81"/>
    </row>
    <row r="436" spans="1:12">
      <c r="A436"/>
      <c r="B436"/>
      <c r="C436"/>
      <c r="D436"/>
      <c r="E436"/>
      <c r="F436"/>
      <c r="H436" s="81"/>
      <c r="I436" s="81"/>
      <c r="J436" s="81"/>
      <c r="K436" s="81"/>
      <c r="L436" s="81"/>
    </row>
    <row r="437" spans="1:12">
      <c r="A437"/>
      <c r="B437"/>
      <c r="C437"/>
      <c r="D437"/>
      <c r="E437"/>
      <c r="F437"/>
      <c r="H437" s="81"/>
      <c r="I437" s="81"/>
      <c r="J437" s="81"/>
      <c r="K437" s="81"/>
      <c r="L437" s="81"/>
    </row>
    <row r="438" spans="1:12">
      <c r="A438"/>
      <c r="B438"/>
      <c r="C438"/>
      <c r="D438"/>
      <c r="E438"/>
      <c r="F438"/>
      <c r="H438" s="81"/>
      <c r="I438" s="81"/>
      <c r="J438" s="81"/>
      <c r="K438" s="81"/>
      <c r="L438" s="81"/>
    </row>
    <row r="439" spans="1:12">
      <c r="A439"/>
      <c r="B439"/>
      <c r="C439"/>
      <c r="D439"/>
      <c r="E439"/>
      <c r="F439"/>
      <c r="H439" s="81"/>
      <c r="I439" s="81"/>
      <c r="J439" s="81"/>
      <c r="K439" s="81"/>
      <c r="L439" s="81"/>
    </row>
    <row r="440" spans="1:12">
      <c r="A440"/>
      <c r="B440"/>
      <c r="C440"/>
      <c r="D440"/>
      <c r="E440"/>
      <c r="F440"/>
      <c r="H440" s="81"/>
      <c r="I440" s="81"/>
      <c r="J440" s="81"/>
      <c r="K440" s="81"/>
      <c r="L440" s="81"/>
    </row>
    <row r="441" spans="1:12">
      <c r="A441"/>
      <c r="B441"/>
      <c r="C441"/>
      <c r="D441"/>
      <c r="E441"/>
      <c r="F441"/>
      <c r="H441" s="81"/>
      <c r="I441" s="81"/>
      <c r="J441" s="81"/>
      <c r="K441" s="81"/>
      <c r="L441" s="81"/>
    </row>
    <row r="442" spans="1:12">
      <c r="A442"/>
      <c r="B442"/>
      <c r="C442"/>
      <c r="D442"/>
      <c r="E442"/>
      <c r="F442"/>
      <c r="H442" s="81"/>
      <c r="I442" s="81"/>
      <c r="J442" s="81"/>
      <c r="K442" s="81"/>
      <c r="L442" s="81"/>
    </row>
    <row r="443" spans="1:12">
      <c r="A443"/>
      <c r="B443"/>
      <c r="C443"/>
      <c r="D443"/>
      <c r="E443"/>
      <c r="F443"/>
      <c r="H443" s="81"/>
      <c r="I443" s="81"/>
      <c r="J443" s="81"/>
      <c r="K443" s="81"/>
      <c r="L443" s="81"/>
    </row>
    <row r="444" spans="1:12">
      <c r="A444"/>
      <c r="B444"/>
      <c r="C444"/>
      <c r="D444"/>
      <c r="E444"/>
      <c r="F444"/>
      <c r="H444" s="81"/>
      <c r="I444" s="81"/>
      <c r="J444" s="81"/>
      <c r="K444" s="81"/>
      <c r="L444" s="81"/>
    </row>
    <row r="445" spans="1:12">
      <c r="A445"/>
      <c r="B445"/>
      <c r="C445"/>
      <c r="D445"/>
      <c r="E445"/>
      <c r="F445"/>
      <c r="H445" s="81"/>
      <c r="I445" s="81"/>
      <c r="J445" s="81"/>
      <c r="K445" s="81"/>
      <c r="L445" s="81"/>
    </row>
    <row r="446" spans="1:12">
      <c r="A446"/>
      <c r="B446"/>
      <c r="C446"/>
      <c r="D446"/>
      <c r="E446"/>
      <c r="F446"/>
      <c r="H446" s="81"/>
      <c r="I446" s="81"/>
      <c r="J446" s="81"/>
      <c r="K446" s="81"/>
      <c r="L446" s="81"/>
    </row>
    <row r="447" spans="1:12">
      <c r="A447"/>
      <c r="B447"/>
      <c r="C447"/>
      <c r="D447"/>
      <c r="E447"/>
      <c r="F447"/>
      <c r="H447" s="81"/>
      <c r="I447" s="81"/>
      <c r="J447" s="81"/>
      <c r="K447" s="81"/>
      <c r="L447" s="81"/>
    </row>
    <row r="448" spans="1:12">
      <c r="A448"/>
      <c r="B448"/>
      <c r="C448"/>
      <c r="D448"/>
      <c r="E448"/>
      <c r="F448"/>
      <c r="H448" s="81"/>
      <c r="I448" s="81"/>
      <c r="J448" s="81"/>
      <c r="K448" s="81"/>
      <c r="L448" s="81"/>
    </row>
    <row r="449" spans="1:12">
      <c r="A449"/>
      <c r="B449"/>
      <c r="C449"/>
      <c r="D449"/>
      <c r="E449"/>
      <c r="F449"/>
      <c r="H449" s="81"/>
      <c r="I449" s="81"/>
      <c r="J449" s="81"/>
      <c r="K449" s="81"/>
      <c r="L449" s="81"/>
    </row>
    <row r="450" spans="1:12">
      <c r="A450"/>
      <c r="B450"/>
      <c r="C450"/>
      <c r="D450"/>
      <c r="E450"/>
      <c r="F450"/>
      <c r="H450" s="81"/>
      <c r="I450" s="81"/>
      <c r="J450" s="81"/>
      <c r="K450" s="81"/>
      <c r="L450" s="81"/>
    </row>
    <row r="451" spans="1:12">
      <c r="A451"/>
      <c r="B451"/>
      <c r="C451"/>
      <c r="D451"/>
      <c r="E451"/>
      <c r="F451"/>
      <c r="H451" s="81"/>
      <c r="I451" s="81"/>
      <c r="J451" s="81"/>
      <c r="K451" s="81"/>
      <c r="L451" s="81"/>
    </row>
    <row r="452" spans="1:12">
      <c r="A452"/>
      <c r="B452"/>
      <c r="C452"/>
      <c r="D452"/>
      <c r="E452"/>
      <c r="F452"/>
      <c r="H452" s="81"/>
      <c r="I452" s="81"/>
      <c r="J452" s="81"/>
      <c r="K452" s="81"/>
      <c r="L452" s="81"/>
    </row>
    <row r="453" spans="1:12">
      <c r="A453"/>
      <c r="B453"/>
      <c r="C453"/>
      <c r="D453"/>
      <c r="E453"/>
      <c r="F453"/>
      <c r="H453" s="81"/>
      <c r="I453" s="81"/>
      <c r="J453" s="81"/>
      <c r="K453" s="81"/>
      <c r="L453" s="81"/>
    </row>
    <row r="454" spans="1:12">
      <c r="A454"/>
      <c r="B454"/>
      <c r="C454"/>
      <c r="D454"/>
      <c r="E454"/>
      <c r="F454"/>
      <c r="H454" s="81"/>
      <c r="I454" s="81"/>
      <c r="J454" s="81"/>
      <c r="K454" s="81"/>
      <c r="L454" s="81"/>
    </row>
    <row r="455" spans="1:12">
      <c r="A455"/>
      <c r="B455"/>
      <c r="C455"/>
      <c r="D455"/>
      <c r="E455"/>
      <c r="F455"/>
      <c r="H455" s="81"/>
      <c r="I455" s="81"/>
      <c r="J455" s="81"/>
      <c r="K455" s="81"/>
      <c r="L455" s="81"/>
    </row>
    <row r="456" spans="1:12">
      <c r="A456"/>
      <c r="B456"/>
      <c r="C456"/>
      <c r="D456"/>
      <c r="E456"/>
      <c r="F456"/>
      <c r="H456" s="81"/>
      <c r="I456" s="81"/>
      <c r="J456" s="81"/>
      <c r="K456" s="81"/>
      <c r="L456" s="81"/>
    </row>
    <row r="457" spans="1:12">
      <c r="A457"/>
      <c r="B457"/>
      <c r="C457"/>
      <c r="D457"/>
      <c r="E457"/>
      <c r="F457"/>
      <c r="H457" s="81"/>
      <c r="I457" s="81"/>
      <c r="J457" s="81"/>
      <c r="K457" s="81"/>
      <c r="L457" s="81"/>
    </row>
    <row r="458" spans="1:12">
      <c r="A458"/>
      <c r="B458"/>
      <c r="C458"/>
      <c r="D458"/>
      <c r="E458"/>
      <c r="F458"/>
      <c r="H458" s="81"/>
      <c r="I458" s="81"/>
      <c r="J458" s="81"/>
      <c r="K458" s="81"/>
      <c r="L458" s="81"/>
    </row>
    <row r="459" spans="1:12">
      <c r="A459"/>
      <c r="B459"/>
      <c r="C459"/>
      <c r="D459"/>
      <c r="E459"/>
      <c r="F459"/>
      <c r="H459" s="81"/>
      <c r="I459" s="81"/>
      <c r="J459" s="81"/>
      <c r="K459" s="81"/>
      <c r="L459" s="81"/>
    </row>
    <row r="460" spans="1:12">
      <c r="A460"/>
      <c r="B460"/>
      <c r="C460"/>
      <c r="D460"/>
      <c r="E460"/>
      <c r="F460"/>
      <c r="H460" s="81"/>
      <c r="I460" s="81"/>
      <c r="J460" s="81"/>
      <c r="K460" s="81"/>
      <c r="L460" s="81"/>
    </row>
    <row r="461" spans="1:12">
      <c r="A461"/>
      <c r="B461"/>
      <c r="C461"/>
      <c r="D461"/>
      <c r="E461"/>
      <c r="F461"/>
      <c r="H461" s="81"/>
      <c r="I461" s="81"/>
      <c r="J461" s="81"/>
      <c r="K461" s="81"/>
      <c r="L461" s="81"/>
    </row>
    <row r="462" spans="1:12">
      <c r="A462"/>
      <c r="B462"/>
      <c r="C462"/>
      <c r="D462"/>
      <c r="E462"/>
      <c r="F462"/>
      <c r="H462" s="81"/>
      <c r="I462" s="81"/>
      <c r="J462" s="81"/>
      <c r="K462" s="81"/>
      <c r="L462" s="81"/>
    </row>
    <row r="463" spans="1:12">
      <c r="A463"/>
      <c r="B463"/>
      <c r="C463"/>
      <c r="D463"/>
      <c r="E463"/>
      <c r="F463"/>
      <c r="H463" s="81"/>
      <c r="I463" s="81"/>
      <c r="J463" s="81"/>
      <c r="K463" s="81"/>
      <c r="L463" s="81"/>
    </row>
    <row r="464" spans="1:12">
      <c r="A464"/>
      <c r="B464"/>
      <c r="C464"/>
      <c r="D464"/>
      <c r="E464"/>
      <c r="F464"/>
      <c r="H464" s="81"/>
      <c r="I464" s="81"/>
      <c r="J464" s="81"/>
      <c r="K464" s="81"/>
      <c r="L464" s="81"/>
    </row>
    <row r="465" spans="1:12">
      <c r="A465"/>
      <c r="B465"/>
      <c r="C465"/>
      <c r="D465"/>
      <c r="E465"/>
      <c r="F465"/>
      <c r="H465" s="81"/>
      <c r="I465" s="81"/>
      <c r="J465" s="81"/>
      <c r="K465" s="81"/>
      <c r="L465" s="81"/>
    </row>
    <row r="466" spans="1:12">
      <c r="A466"/>
      <c r="B466"/>
      <c r="C466"/>
      <c r="D466"/>
      <c r="E466"/>
      <c r="F466"/>
      <c r="H466" s="81"/>
      <c r="I466" s="81"/>
      <c r="J466" s="81"/>
      <c r="K466" s="81"/>
      <c r="L466" s="81"/>
    </row>
    <row r="467" spans="1:12">
      <c r="A467"/>
      <c r="B467"/>
      <c r="C467"/>
      <c r="D467"/>
      <c r="E467"/>
      <c r="F467"/>
      <c r="H467" s="81"/>
      <c r="I467" s="81"/>
      <c r="J467" s="81"/>
      <c r="K467" s="81"/>
      <c r="L467" s="81"/>
    </row>
    <row r="468" spans="1:12">
      <c r="A468"/>
      <c r="B468"/>
      <c r="C468"/>
      <c r="D468"/>
      <c r="E468"/>
      <c r="F468"/>
      <c r="H468" s="81"/>
      <c r="I468" s="81"/>
      <c r="J468" s="81"/>
      <c r="K468" s="81"/>
      <c r="L468" s="81"/>
    </row>
    <row r="469" spans="1:12">
      <c r="A469"/>
      <c r="B469"/>
      <c r="C469"/>
      <c r="D469"/>
      <c r="E469"/>
      <c r="F469"/>
      <c r="H469" s="81"/>
      <c r="I469" s="81"/>
      <c r="J469" s="81"/>
      <c r="K469" s="81"/>
      <c r="L469" s="81"/>
    </row>
    <row r="470" spans="1:12">
      <c r="A470"/>
      <c r="B470"/>
      <c r="C470"/>
      <c r="D470"/>
      <c r="E470"/>
      <c r="F470"/>
      <c r="H470" s="81"/>
      <c r="I470" s="81"/>
      <c r="J470" s="81"/>
      <c r="K470" s="81"/>
      <c r="L470" s="81"/>
    </row>
    <row r="471" spans="1:12">
      <c r="A471"/>
      <c r="B471"/>
      <c r="C471"/>
      <c r="D471"/>
      <c r="E471"/>
      <c r="F471"/>
      <c r="H471" s="81"/>
      <c r="I471" s="81"/>
      <c r="J471" s="81"/>
      <c r="K471" s="81"/>
      <c r="L471" s="81"/>
    </row>
  </sheetData>
  <autoFilter ref="A6:N164"/>
  <mergeCells count="134">
    <mergeCell ref="A7:A14"/>
    <mergeCell ref="B7:B14"/>
    <mergeCell ref="C7:C14"/>
    <mergeCell ref="D7:D14"/>
    <mergeCell ref="E7:E14"/>
    <mergeCell ref="F7:F14"/>
    <mergeCell ref="A3:L3"/>
    <mergeCell ref="A5:A6"/>
    <mergeCell ref="B5:B6"/>
    <mergeCell ref="C5:C6"/>
    <mergeCell ref="D5:D6"/>
    <mergeCell ref="E5:E6"/>
    <mergeCell ref="F5:F6"/>
    <mergeCell ref="G5:L5"/>
    <mergeCell ref="A23:A30"/>
    <mergeCell ref="B23:B30"/>
    <mergeCell ref="C23:C30"/>
    <mergeCell ref="D23:D30"/>
    <mergeCell ref="E23:E30"/>
    <mergeCell ref="F23:F30"/>
    <mergeCell ref="A15:A22"/>
    <mergeCell ref="B15:B22"/>
    <mergeCell ref="C15:C22"/>
    <mergeCell ref="D15:D22"/>
    <mergeCell ref="E15:E22"/>
    <mergeCell ref="F15:F22"/>
    <mergeCell ref="A40:A47"/>
    <mergeCell ref="B40:B47"/>
    <mergeCell ref="C40:C47"/>
    <mergeCell ref="D40:D47"/>
    <mergeCell ref="E40:E47"/>
    <mergeCell ref="F40:F47"/>
    <mergeCell ref="A31:A39"/>
    <mergeCell ref="B31:B39"/>
    <mergeCell ref="C31:C39"/>
    <mergeCell ref="D31:D39"/>
    <mergeCell ref="E31:E39"/>
    <mergeCell ref="F31:F39"/>
    <mergeCell ref="A57:A65"/>
    <mergeCell ref="B57:B65"/>
    <mergeCell ref="C57:C65"/>
    <mergeCell ref="D57:D65"/>
    <mergeCell ref="E57:E65"/>
    <mergeCell ref="F57:F65"/>
    <mergeCell ref="A48:A56"/>
    <mergeCell ref="B48:B56"/>
    <mergeCell ref="C48:C56"/>
    <mergeCell ref="D48:D56"/>
    <mergeCell ref="E48:E56"/>
    <mergeCell ref="F48:F56"/>
    <mergeCell ref="A75:A83"/>
    <mergeCell ref="B75:B83"/>
    <mergeCell ref="C75:C83"/>
    <mergeCell ref="D75:D83"/>
    <mergeCell ref="E75:E83"/>
    <mergeCell ref="F75:F83"/>
    <mergeCell ref="A66:A74"/>
    <mergeCell ref="B66:B74"/>
    <mergeCell ref="C66:C74"/>
    <mergeCell ref="D66:D74"/>
    <mergeCell ref="E66:E74"/>
    <mergeCell ref="F66:F74"/>
    <mergeCell ref="A92:A99"/>
    <mergeCell ref="B92:B99"/>
    <mergeCell ref="C92:C99"/>
    <mergeCell ref="D92:D99"/>
    <mergeCell ref="E92:E99"/>
    <mergeCell ref="F92:F99"/>
    <mergeCell ref="A84:A91"/>
    <mergeCell ref="B84:B91"/>
    <mergeCell ref="C84:C91"/>
    <mergeCell ref="D84:D91"/>
    <mergeCell ref="E84:E91"/>
    <mergeCell ref="F84:F91"/>
    <mergeCell ref="A108:A115"/>
    <mergeCell ref="B108:B115"/>
    <mergeCell ref="C108:C115"/>
    <mergeCell ref="D108:D115"/>
    <mergeCell ref="E108:E115"/>
    <mergeCell ref="F108:F115"/>
    <mergeCell ref="A100:A107"/>
    <mergeCell ref="B100:B107"/>
    <mergeCell ref="C100:C107"/>
    <mergeCell ref="D100:D107"/>
    <mergeCell ref="E100:E107"/>
    <mergeCell ref="F100:F107"/>
    <mergeCell ref="A124:A131"/>
    <mergeCell ref="B124:B131"/>
    <mergeCell ref="C124:C131"/>
    <mergeCell ref="D124:D131"/>
    <mergeCell ref="E124:E131"/>
    <mergeCell ref="F124:F131"/>
    <mergeCell ref="A116:A123"/>
    <mergeCell ref="B116:B123"/>
    <mergeCell ref="C116:C123"/>
    <mergeCell ref="D116:D123"/>
    <mergeCell ref="E116:E123"/>
    <mergeCell ref="F116:F123"/>
    <mergeCell ref="A141:A148"/>
    <mergeCell ref="B141:B148"/>
    <mergeCell ref="C141:C148"/>
    <mergeCell ref="D141:D148"/>
    <mergeCell ref="E141:E148"/>
    <mergeCell ref="F141:F148"/>
    <mergeCell ref="A132:A140"/>
    <mergeCell ref="B132:B140"/>
    <mergeCell ref="C132:C140"/>
    <mergeCell ref="D132:D140"/>
    <mergeCell ref="E132:E140"/>
    <mergeCell ref="F132:F140"/>
    <mergeCell ref="A157:A164"/>
    <mergeCell ref="B157:B164"/>
    <mergeCell ref="C157:C164"/>
    <mergeCell ref="D157:D164"/>
    <mergeCell ref="E157:E164"/>
    <mergeCell ref="F157:F164"/>
    <mergeCell ref="A149:A156"/>
    <mergeCell ref="B149:B156"/>
    <mergeCell ref="C149:C156"/>
    <mergeCell ref="D149:D156"/>
    <mergeCell ref="E149:E156"/>
    <mergeCell ref="F149:F156"/>
    <mergeCell ref="A173:A180"/>
    <mergeCell ref="B173:B180"/>
    <mergeCell ref="C173:C180"/>
    <mergeCell ref="D173:D180"/>
    <mergeCell ref="E173:E180"/>
    <mergeCell ref="F173:F180"/>
    <mergeCell ref="A165:A172"/>
    <mergeCell ref="B165:B172"/>
    <mergeCell ref="C165:C172"/>
    <mergeCell ref="D165:D172"/>
    <mergeCell ref="E165:E172"/>
    <mergeCell ref="F165:F172"/>
  </mergeCells>
  <pageMargins left="0.23622047244094491" right="0.31496062992125984" top="0.26" bottom="0.28000000000000003" header="0.17" footer="0.15748031496062992"/>
  <pageSetup paperSize="9"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0"/>
  <sheetViews>
    <sheetView view="pageBreakPreview" topLeftCell="A355" zoomScale="120" zoomScaleNormal="120" zoomScaleSheetLayoutView="120" workbookViewId="0">
      <selection activeCell="F372" sqref="F372"/>
    </sheetView>
  </sheetViews>
  <sheetFormatPr defaultColWidth="8.85546875" defaultRowHeight="15"/>
  <cols>
    <col min="1" max="1" width="7.28515625" style="42" customWidth="1"/>
    <col min="2" max="2" width="17.140625" style="1" customWidth="1"/>
    <col min="3" max="3" width="8.7109375" style="2" customWidth="1"/>
    <col min="4" max="4" width="8.85546875" style="41" customWidth="1"/>
    <col min="5" max="5" width="9.140625" style="4" bestFit="1" customWidth="1"/>
    <col min="6" max="6" width="9.140625" style="3" bestFit="1" customWidth="1"/>
    <col min="7" max="8" width="7.85546875" style="4" bestFit="1" customWidth="1"/>
    <col min="9" max="9" width="7" style="4" bestFit="1" customWidth="1"/>
    <col min="10" max="10" width="26.7109375" style="5" customWidth="1"/>
    <col min="11" max="11" width="17" style="6" customWidth="1"/>
    <col min="257" max="257" width="7.28515625" customWidth="1"/>
    <col min="258" max="258" width="17.140625" customWidth="1"/>
    <col min="259" max="259" width="8.7109375" customWidth="1"/>
    <col min="260" max="260" width="8.85546875" customWidth="1"/>
    <col min="261" max="262" width="9.140625" bestFit="1" customWidth="1"/>
    <col min="263" max="264" width="7.85546875" bestFit="1" customWidth="1"/>
    <col min="265" max="265" width="7" bestFit="1" customWidth="1"/>
    <col min="266" max="266" width="26.7109375" customWidth="1"/>
    <col min="267" max="267" width="17" customWidth="1"/>
    <col min="513" max="513" width="7.28515625" customWidth="1"/>
    <col min="514" max="514" width="17.140625" customWidth="1"/>
    <col min="515" max="515" width="8.7109375" customWidth="1"/>
    <col min="516" max="516" width="8.85546875" customWidth="1"/>
    <col min="517" max="518" width="9.140625" bestFit="1" customWidth="1"/>
    <col min="519" max="520" width="7.85546875" bestFit="1" customWidth="1"/>
    <col min="521" max="521" width="7" bestFit="1" customWidth="1"/>
    <col min="522" max="522" width="26.7109375" customWidth="1"/>
    <col min="523" max="523" width="17" customWidth="1"/>
    <col min="769" max="769" width="7.28515625" customWidth="1"/>
    <col min="770" max="770" width="17.140625" customWidth="1"/>
    <col min="771" max="771" width="8.7109375" customWidth="1"/>
    <col min="772" max="772" width="8.85546875" customWidth="1"/>
    <col min="773" max="774" width="9.140625" bestFit="1" customWidth="1"/>
    <col min="775" max="776" width="7.85546875" bestFit="1" customWidth="1"/>
    <col min="777" max="777" width="7" bestFit="1" customWidth="1"/>
    <col min="778" max="778" width="26.7109375" customWidth="1"/>
    <col min="779" max="779" width="17" customWidth="1"/>
    <col min="1025" max="1025" width="7.28515625" customWidth="1"/>
    <col min="1026" max="1026" width="17.140625" customWidth="1"/>
    <col min="1027" max="1027" width="8.7109375" customWidth="1"/>
    <col min="1028" max="1028" width="8.85546875" customWidth="1"/>
    <col min="1029" max="1030" width="9.140625" bestFit="1" customWidth="1"/>
    <col min="1031" max="1032" width="7.85546875" bestFit="1" customWidth="1"/>
    <col min="1033" max="1033" width="7" bestFit="1" customWidth="1"/>
    <col min="1034" max="1034" width="26.7109375" customWidth="1"/>
    <col min="1035" max="1035" width="17" customWidth="1"/>
    <col min="1281" max="1281" width="7.28515625" customWidth="1"/>
    <col min="1282" max="1282" width="17.140625" customWidth="1"/>
    <col min="1283" max="1283" width="8.7109375" customWidth="1"/>
    <col min="1284" max="1284" width="8.85546875" customWidth="1"/>
    <col min="1285" max="1286" width="9.140625" bestFit="1" customWidth="1"/>
    <col min="1287" max="1288" width="7.85546875" bestFit="1" customWidth="1"/>
    <col min="1289" max="1289" width="7" bestFit="1" customWidth="1"/>
    <col min="1290" max="1290" width="26.7109375" customWidth="1"/>
    <col min="1291" max="1291" width="17" customWidth="1"/>
    <col min="1537" max="1537" width="7.28515625" customWidth="1"/>
    <col min="1538" max="1538" width="17.140625" customWidth="1"/>
    <col min="1539" max="1539" width="8.7109375" customWidth="1"/>
    <col min="1540" max="1540" width="8.85546875" customWidth="1"/>
    <col min="1541" max="1542" width="9.140625" bestFit="1" customWidth="1"/>
    <col min="1543" max="1544" width="7.85546875" bestFit="1" customWidth="1"/>
    <col min="1545" max="1545" width="7" bestFit="1" customWidth="1"/>
    <col min="1546" max="1546" width="26.7109375" customWidth="1"/>
    <col min="1547" max="1547" width="17" customWidth="1"/>
    <col min="1793" max="1793" width="7.28515625" customWidth="1"/>
    <col min="1794" max="1794" width="17.140625" customWidth="1"/>
    <col min="1795" max="1795" width="8.7109375" customWidth="1"/>
    <col min="1796" max="1796" width="8.85546875" customWidth="1"/>
    <col min="1797" max="1798" width="9.140625" bestFit="1" customWidth="1"/>
    <col min="1799" max="1800" width="7.85546875" bestFit="1" customWidth="1"/>
    <col min="1801" max="1801" width="7" bestFit="1" customWidth="1"/>
    <col min="1802" max="1802" width="26.7109375" customWidth="1"/>
    <col min="1803" max="1803" width="17" customWidth="1"/>
    <col min="2049" max="2049" width="7.28515625" customWidth="1"/>
    <col min="2050" max="2050" width="17.140625" customWidth="1"/>
    <col min="2051" max="2051" width="8.7109375" customWidth="1"/>
    <col min="2052" max="2052" width="8.85546875" customWidth="1"/>
    <col min="2053" max="2054" width="9.140625" bestFit="1" customWidth="1"/>
    <col min="2055" max="2056" width="7.85546875" bestFit="1" customWidth="1"/>
    <col min="2057" max="2057" width="7" bestFit="1" customWidth="1"/>
    <col min="2058" max="2058" width="26.7109375" customWidth="1"/>
    <col min="2059" max="2059" width="17" customWidth="1"/>
    <col min="2305" max="2305" width="7.28515625" customWidth="1"/>
    <col min="2306" max="2306" width="17.140625" customWidth="1"/>
    <col min="2307" max="2307" width="8.7109375" customWidth="1"/>
    <col min="2308" max="2308" width="8.85546875" customWidth="1"/>
    <col min="2309" max="2310" width="9.140625" bestFit="1" customWidth="1"/>
    <col min="2311" max="2312" width="7.85546875" bestFit="1" customWidth="1"/>
    <col min="2313" max="2313" width="7" bestFit="1" customWidth="1"/>
    <col min="2314" max="2314" width="26.7109375" customWidth="1"/>
    <col min="2315" max="2315" width="17" customWidth="1"/>
    <col min="2561" max="2561" width="7.28515625" customWidth="1"/>
    <col min="2562" max="2562" width="17.140625" customWidth="1"/>
    <col min="2563" max="2563" width="8.7109375" customWidth="1"/>
    <col min="2564" max="2564" width="8.85546875" customWidth="1"/>
    <col min="2565" max="2566" width="9.140625" bestFit="1" customWidth="1"/>
    <col min="2567" max="2568" width="7.85546875" bestFit="1" customWidth="1"/>
    <col min="2569" max="2569" width="7" bestFit="1" customWidth="1"/>
    <col min="2570" max="2570" width="26.7109375" customWidth="1"/>
    <col min="2571" max="2571" width="17" customWidth="1"/>
    <col min="2817" max="2817" width="7.28515625" customWidth="1"/>
    <col min="2818" max="2818" width="17.140625" customWidth="1"/>
    <col min="2819" max="2819" width="8.7109375" customWidth="1"/>
    <col min="2820" max="2820" width="8.85546875" customWidth="1"/>
    <col min="2821" max="2822" width="9.140625" bestFit="1" customWidth="1"/>
    <col min="2823" max="2824" width="7.85546875" bestFit="1" customWidth="1"/>
    <col min="2825" max="2825" width="7" bestFit="1" customWidth="1"/>
    <col min="2826" max="2826" width="26.7109375" customWidth="1"/>
    <col min="2827" max="2827" width="17" customWidth="1"/>
    <col min="3073" max="3073" width="7.28515625" customWidth="1"/>
    <col min="3074" max="3074" width="17.140625" customWidth="1"/>
    <col min="3075" max="3075" width="8.7109375" customWidth="1"/>
    <col min="3076" max="3076" width="8.85546875" customWidth="1"/>
    <col min="3077" max="3078" width="9.140625" bestFit="1" customWidth="1"/>
    <col min="3079" max="3080" width="7.85546875" bestFit="1" customWidth="1"/>
    <col min="3081" max="3081" width="7" bestFit="1" customWidth="1"/>
    <col min="3082" max="3082" width="26.7109375" customWidth="1"/>
    <col min="3083" max="3083" width="17" customWidth="1"/>
    <col min="3329" max="3329" width="7.28515625" customWidth="1"/>
    <col min="3330" max="3330" width="17.140625" customWidth="1"/>
    <col min="3331" max="3331" width="8.7109375" customWidth="1"/>
    <col min="3332" max="3332" width="8.85546875" customWidth="1"/>
    <col min="3333" max="3334" width="9.140625" bestFit="1" customWidth="1"/>
    <col min="3335" max="3336" width="7.85546875" bestFit="1" customWidth="1"/>
    <col min="3337" max="3337" width="7" bestFit="1" customWidth="1"/>
    <col min="3338" max="3338" width="26.7109375" customWidth="1"/>
    <col min="3339" max="3339" width="17" customWidth="1"/>
    <col min="3585" max="3585" width="7.28515625" customWidth="1"/>
    <col min="3586" max="3586" width="17.140625" customWidth="1"/>
    <col min="3587" max="3587" width="8.7109375" customWidth="1"/>
    <col min="3588" max="3588" width="8.85546875" customWidth="1"/>
    <col min="3589" max="3590" width="9.140625" bestFit="1" customWidth="1"/>
    <col min="3591" max="3592" width="7.85546875" bestFit="1" customWidth="1"/>
    <col min="3593" max="3593" width="7" bestFit="1" customWidth="1"/>
    <col min="3594" max="3594" width="26.7109375" customWidth="1"/>
    <col min="3595" max="3595" width="17" customWidth="1"/>
    <col min="3841" max="3841" width="7.28515625" customWidth="1"/>
    <col min="3842" max="3842" width="17.140625" customWidth="1"/>
    <col min="3843" max="3843" width="8.7109375" customWidth="1"/>
    <col min="3844" max="3844" width="8.85546875" customWidth="1"/>
    <col min="3845" max="3846" width="9.140625" bestFit="1" customWidth="1"/>
    <col min="3847" max="3848" width="7.85546875" bestFit="1" customWidth="1"/>
    <col min="3849" max="3849" width="7" bestFit="1" customWidth="1"/>
    <col min="3850" max="3850" width="26.7109375" customWidth="1"/>
    <col min="3851" max="3851" width="17" customWidth="1"/>
    <col min="4097" max="4097" width="7.28515625" customWidth="1"/>
    <col min="4098" max="4098" width="17.140625" customWidth="1"/>
    <col min="4099" max="4099" width="8.7109375" customWidth="1"/>
    <col min="4100" max="4100" width="8.85546875" customWidth="1"/>
    <col min="4101" max="4102" width="9.140625" bestFit="1" customWidth="1"/>
    <col min="4103" max="4104" width="7.85546875" bestFit="1" customWidth="1"/>
    <col min="4105" max="4105" width="7" bestFit="1" customWidth="1"/>
    <col min="4106" max="4106" width="26.7109375" customWidth="1"/>
    <col min="4107" max="4107" width="17" customWidth="1"/>
    <col min="4353" max="4353" width="7.28515625" customWidth="1"/>
    <col min="4354" max="4354" width="17.140625" customWidth="1"/>
    <col min="4355" max="4355" width="8.7109375" customWidth="1"/>
    <col min="4356" max="4356" width="8.85546875" customWidth="1"/>
    <col min="4357" max="4358" width="9.140625" bestFit="1" customWidth="1"/>
    <col min="4359" max="4360" width="7.85546875" bestFit="1" customWidth="1"/>
    <col min="4361" max="4361" width="7" bestFit="1" customWidth="1"/>
    <col min="4362" max="4362" width="26.7109375" customWidth="1"/>
    <col min="4363" max="4363" width="17" customWidth="1"/>
    <col min="4609" max="4609" width="7.28515625" customWidth="1"/>
    <col min="4610" max="4610" width="17.140625" customWidth="1"/>
    <col min="4611" max="4611" width="8.7109375" customWidth="1"/>
    <col min="4612" max="4612" width="8.85546875" customWidth="1"/>
    <col min="4613" max="4614" width="9.140625" bestFit="1" customWidth="1"/>
    <col min="4615" max="4616" width="7.85546875" bestFit="1" customWidth="1"/>
    <col min="4617" max="4617" width="7" bestFit="1" customWidth="1"/>
    <col min="4618" max="4618" width="26.7109375" customWidth="1"/>
    <col min="4619" max="4619" width="17" customWidth="1"/>
    <col min="4865" max="4865" width="7.28515625" customWidth="1"/>
    <col min="4866" max="4866" width="17.140625" customWidth="1"/>
    <col min="4867" max="4867" width="8.7109375" customWidth="1"/>
    <col min="4868" max="4868" width="8.85546875" customWidth="1"/>
    <col min="4869" max="4870" width="9.140625" bestFit="1" customWidth="1"/>
    <col min="4871" max="4872" width="7.85546875" bestFit="1" customWidth="1"/>
    <col min="4873" max="4873" width="7" bestFit="1" customWidth="1"/>
    <col min="4874" max="4874" width="26.7109375" customWidth="1"/>
    <col min="4875" max="4875" width="17" customWidth="1"/>
    <col min="5121" max="5121" width="7.28515625" customWidth="1"/>
    <col min="5122" max="5122" width="17.140625" customWidth="1"/>
    <col min="5123" max="5123" width="8.7109375" customWidth="1"/>
    <col min="5124" max="5124" width="8.85546875" customWidth="1"/>
    <col min="5125" max="5126" width="9.140625" bestFit="1" customWidth="1"/>
    <col min="5127" max="5128" width="7.85546875" bestFit="1" customWidth="1"/>
    <col min="5129" max="5129" width="7" bestFit="1" customWidth="1"/>
    <col min="5130" max="5130" width="26.7109375" customWidth="1"/>
    <col min="5131" max="5131" width="17" customWidth="1"/>
    <col min="5377" max="5377" width="7.28515625" customWidth="1"/>
    <col min="5378" max="5378" width="17.140625" customWidth="1"/>
    <col min="5379" max="5379" width="8.7109375" customWidth="1"/>
    <col min="5380" max="5380" width="8.85546875" customWidth="1"/>
    <col min="5381" max="5382" width="9.140625" bestFit="1" customWidth="1"/>
    <col min="5383" max="5384" width="7.85546875" bestFit="1" customWidth="1"/>
    <col min="5385" max="5385" width="7" bestFit="1" customWidth="1"/>
    <col min="5386" max="5386" width="26.7109375" customWidth="1"/>
    <col min="5387" max="5387" width="17" customWidth="1"/>
    <col min="5633" max="5633" width="7.28515625" customWidth="1"/>
    <col min="5634" max="5634" width="17.140625" customWidth="1"/>
    <col min="5635" max="5635" width="8.7109375" customWidth="1"/>
    <col min="5636" max="5636" width="8.85546875" customWidth="1"/>
    <col min="5637" max="5638" width="9.140625" bestFit="1" customWidth="1"/>
    <col min="5639" max="5640" width="7.85546875" bestFit="1" customWidth="1"/>
    <col min="5641" max="5641" width="7" bestFit="1" customWidth="1"/>
    <col min="5642" max="5642" width="26.7109375" customWidth="1"/>
    <col min="5643" max="5643" width="17" customWidth="1"/>
    <col min="5889" max="5889" width="7.28515625" customWidth="1"/>
    <col min="5890" max="5890" width="17.140625" customWidth="1"/>
    <col min="5891" max="5891" width="8.7109375" customWidth="1"/>
    <col min="5892" max="5892" width="8.85546875" customWidth="1"/>
    <col min="5893" max="5894" width="9.140625" bestFit="1" customWidth="1"/>
    <col min="5895" max="5896" width="7.85546875" bestFit="1" customWidth="1"/>
    <col min="5897" max="5897" width="7" bestFit="1" customWidth="1"/>
    <col min="5898" max="5898" width="26.7109375" customWidth="1"/>
    <col min="5899" max="5899" width="17" customWidth="1"/>
    <col min="6145" max="6145" width="7.28515625" customWidth="1"/>
    <col min="6146" max="6146" width="17.140625" customWidth="1"/>
    <col min="6147" max="6147" width="8.7109375" customWidth="1"/>
    <col min="6148" max="6148" width="8.85546875" customWidth="1"/>
    <col min="6149" max="6150" width="9.140625" bestFit="1" customWidth="1"/>
    <col min="6151" max="6152" width="7.85546875" bestFit="1" customWidth="1"/>
    <col min="6153" max="6153" width="7" bestFit="1" customWidth="1"/>
    <col min="6154" max="6154" width="26.7109375" customWidth="1"/>
    <col min="6155" max="6155" width="17" customWidth="1"/>
    <col min="6401" max="6401" width="7.28515625" customWidth="1"/>
    <col min="6402" max="6402" width="17.140625" customWidth="1"/>
    <col min="6403" max="6403" width="8.7109375" customWidth="1"/>
    <col min="6404" max="6404" width="8.85546875" customWidth="1"/>
    <col min="6405" max="6406" width="9.140625" bestFit="1" customWidth="1"/>
    <col min="6407" max="6408" width="7.85546875" bestFit="1" customWidth="1"/>
    <col min="6409" max="6409" width="7" bestFit="1" customWidth="1"/>
    <col min="6410" max="6410" width="26.7109375" customWidth="1"/>
    <col min="6411" max="6411" width="17" customWidth="1"/>
    <col min="6657" max="6657" width="7.28515625" customWidth="1"/>
    <col min="6658" max="6658" width="17.140625" customWidth="1"/>
    <col min="6659" max="6659" width="8.7109375" customWidth="1"/>
    <col min="6660" max="6660" width="8.85546875" customWidth="1"/>
    <col min="6661" max="6662" width="9.140625" bestFit="1" customWidth="1"/>
    <col min="6663" max="6664" width="7.85546875" bestFit="1" customWidth="1"/>
    <col min="6665" max="6665" width="7" bestFit="1" customWidth="1"/>
    <col min="6666" max="6666" width="26.7109375" customWidth="1"/>
    <col min="6667" max="6667" width="17" customWidth="1"/>
    <col min="6913" max="6913" width="7.28515625" customWidth="1"/>
    <col min="6914" max="6914" width="17.140625" customWidth="1"/>
    <col min="6915" max="6915" width="8.7109375" customWidth="1"/>
    <col min="6916" max="6916" width="8.85546875" customWidth="1"/>
    <col min="6917" max="6918" width="9.140625" bestFit="1" customWidth="1"/>
    <col min="6919" max="6920" width="7.85546875" bestFit="1" customWidth="1"/>
    <col min="6921" max="6921" width="7" bestFit="1" customWidth="1"/>
    <col min="6922" max="6922" width="26.7109375" customWidth="1"/>
    <col min="6923" max="6923" width="17" customWidth="1"/>
    <col min="7169" max="7169" width="7.28515625" customWidth="1"/>
    <col min="7170" max="7170" width="17.140625" customWidth="1"/>
    <col min="7171" max="7171" width="8.7109375" customWidth="1"/>
    <col min="7172" max="7172" width="8.85546875" customWidth="1"/>
    <col min="7173" max="7174" width="9.140625" bestFit="1" customWidth="1"/>
    <col min="7175" max="7176" width="7.85546875" bestFit="1" customWidth="1"/>
    <col min="7177" max="7177" width="7" bestFit="1" customWidth="1"/>
    <col min="7178" max="7178" width="26.7109375" customWidth="1"/>
    <col min="7179" max="7179" width="17" customWidth="1"/>
    <col min="7425" max="7425" width="7.28515625" customWidth="1"/>
    <col min="7426" max="7426" width="17.140625" customWidth="1"/>
    <col min="7427" max="7427" width="8.7109375" customWidth="1"/>
    <col min="7428" max="7428" width="8.85546875" customWidth="1"/>
    <col min="7429" max="7430" width="9.140625" bestFit="1" customWidth="1"/>
    <col min="7431" max="7432" width="7.85546875" bestFit="1" customWidth="1"/>
    <col min="7433" max="7433" width="7" bestFit="1" customWidth="1"/>
    <col min="7434" max="7434" width="26.7109375" customWidth="1"/>
    <col min="7435" max="7435" width="17" customWidth="1"/>
    <col min="7681" max="7681" width="7.28515625" customWidth="1"/>
    <col min="7682" max="7682" width="17.140625" customWidth="1"/>
    <col min="7683" max="7683" width="8.7109375" customWidth="1"/>
    <col min="7684" max="7684" width="8.85546875" customWidth="1"/>
    <col min="7685" max="7686" width="9.140625" bestFit="1" customWidth="1"/>
    <col min="7687" max="7688" width="7.85546875" bestFit="1" customWidth="1"/>
    <col min="7689" max="7689" width="7" bestFit="1" customWidth="1"/>
    <col min="7690" max="7690" width="26.7109375" customWidth="1"/>
    <col min="7691" max="7691" width="17" customWidth="1"/>
    <col min="7937" max="7937" width="7.28515625" customWidth="1"/>
    <col min="7938" max="7938" width="17.140625" customWidth="1"/>
    <col min="7939" max="7939" width="8.7109375" customWidth="1"/>
    <col min="7940" max="7940" width="8.85546875" customWidth="1"/>
    <col min="7941" max="7942" width="9.140625" bestFit="1" customWidth="1"/>
    <col min="7943" max="7944" width="7.85546875" bestFit="1" customWidth="1"/>
    <col min="7945" max="7945" width="7" bestFit="1" customWidth="1"/>
    <col min="7946" max="7946" width="26.7109375" customWidth="1"/>
    <col min="7947" max="7947" width="17" customWidth="1"/>
    <col min="8193" max="8193" width="7.28515625" customWidth="1"/>
    <col min="8194" max="8194" width="17.140625" customWidth="1"/>
    <col min="8195" max="8195" width="8.7109375" customWidth="1"/>
    <col min="8196" max="8196" width="8.85546875" customWidth="1"/>
    <col min="8197" max="8198" width="9.140625" bestFit="1" customWidth="1"/>
    <col min="8199" max="8200" width="7.85546875" bestFit="1" customWidth="1"/>
    <col min="8201" max="8201" width="7" bestFit="1" customWidth="1"/>
    <col min="8202" max="8202" width="26.7109375" customWidth="1"/>
    <col min="8203" max="8203" width="17" customWidth="1"/>
    <col min="8449" max="8449" width="7.28515625" customWidth="1"/>
    <col min="8450" max="8450" width="17.140625" customWidth="1"/>
    <col min="8451" max="8451" width="8.7109375" customWidth="1"/>
    <col min="8452" max="8452" width="8.85546875" customWidth="1"/>
    <col min="8453" max="8454" width="9.140625" bestFit="1" customWidth="1"/>
    <col min="8455" max="8456" width="7.85546875" bestFit="1" customWidth="1"/>
    <col min="8457" max="8457" width="7" bestFit="1" customWidth="1"/>
    <col min="8458" max="8458" width="26.7109375" customWidth="1"/>
    <col min="8459" max="8459" width="17" customWidth="1"/>
    <col min="8705" max="8705" width="7.28515625" customWidth="1"/>
    <col min="8706" max="8706" width="17.140625" customWidth="1"/>
    <col min="8707" max="8707" width="8.7109375" customWidth="1"/>
    <col min="8708" max="8708" width="8.85546875" customWidth="1"/>
    <col min="8709" max="8710" width="9.140625" bestFit="1" customWidth="1"/>
    <col min="8711" max="8712" width="7.85546875" bestFit="1" customWidth="1"/>
    <col min="8713" max="8713" width="7" bestFit="1" customWidth="1"/>
    <col min="8714" max="8714" width="26.7109375" customWidth="1"/>
    <col min="8715" max="8715" width="17" customWidth="1"/>
    <col min="8961" max="8961" width="7.28515625" customWidth="1"/>
    <col min="8962" max="8962" width="17.140625" customWidth="1"/>
    <col min="8963" max="8963" width="8.7109375" customWidth="1"/>
    <col min="8964" max="8964" width="8.85546875" customWidth="1"/>
    <col min="8965" max="8966" width="9.140625" bestFit="1" customWidth="1"/>
    <col min="8967" max="8968" width="7.85546875" bestFit="1" customWidth="1"/>
    <col min="8969" max="8969" width="7" bestFit="1" customWidth="1"/>
    <col min="8970" max="8970" width="26.7109375" customWidth="1"/>
    <col min="8971" max="8971" width="17" customWidth="1"/>
    <col min="9217" max="9217" width="7.28515625" customWidth="1"/>
    <col min="9218" max="9218" width="17.140625" customWidth="1"/>
    <col min="9219" max="9219" width="8.7109375" customWidth="1"/>
    <col min="9220" max="9220" width="8.85546875" customWidth="1"/>
    <col min="9221" max="9222" width="9.140625" bestFit="1" customWidth="1"/>
    <col min="9223" max="9224" width="7.85546875" bestFit="1" customWidth="1"/>
    <col min="9225" max="9225" width="7" bestFit="1" customWidth="1"/>
    <col min="9226" max="9226" width="26.7109375" customWidth="1"/>
    <col min="9227" max="9227" width="17" customWidth="1"/>
    <col min="9473" max="9473" width="7.28515625" customWidth="1"/>
    <col min="9474" max="9474" width="17.140625" customWidth="1"/>
    <col min="9475" max="9475" width="8.7109375" customWidth="1"/>
    <col min="9476" max="9476" width="8.85546875" customWidth="1"/>
    <col min="9477" max="9478" width="9.140625" bestFit="1" customWidth="1"/>
    <col min="9479" max="9480" width="7.85546875" bestFit="1" customWidth="1"/>
    <col min="9481" max="9481" width="7" bestFit="1" customWidth="1"/>
    <col min="9482" max="9482" width="26.7109375" customWidth="1"/>
    <col min="9483" max="9483" width="17" customWidth="1"/>
    <col min="9729" max="9729" width="7.28515625" customWidth="1"/>
    <col min="9730" max="9730" width="17.140625" customWidth="1"/>
    <col min="9731" max="9731" width="8.7109375" customWidth="1"/>
    <col min="9732" max="9732" width="8.85546875" customWidth="1"/>
    <col min="9733" max="9734" width="9.140625" bestFit="1" customWidth="1"/>
    <col min="9735" max="9736" width="7.85546875" bestFit="1" customWidth="1"/>
    <col min="9737" max="9737" width="7" bestFit="1" customWidth="1"/>
    <col min="9738" max="9738" width="26.7109375" customWidth="1"/>
    <col min="9739" max="9739" width="17" customWidth="1"/>
    <col min="9985" max="9985" width="7.28515625" customWidth="1"/>
    <col min="9986" max="9986" width="17.140625" customWidth="1"/>
    <col min="9987" max="9987" width="8.7109375" customWidth="1"/>
    <col min="9988" max="9988" width="8.85546875" customWidth="1"/>
    <col min="9989" max="9990" width="9.140625" bestFit="1" customWidth="1"/>
    <col min="9991" max="9992" width="7.85546875" bestFit="1" customWidth="1"/>
    <col min="9993" max="9993" width="7" bestFit="1" customWidth="1"/>
    <col min="9994" max="9994" width="26.7109375" customWidth="1"/>
    <col min="9995" max="9995" width="17" customWidth="1"/>
    <col min="10241" max="10241" width="7.28515625" customWidth="1"/>
    <col min="10242" max="10242" width="17.140625" customWidth="1"/>
    <col min="10243" max="10243" width="8.7109375" customWidth="1"/>
    <col min="10244" max="10244" width="8.85546875" customWidth="1"/>
    <col min="10245" max="10246" width="9.140625" bestFit="1" customWidth="1"/>
    <col min="10247" max="10248" width="7.85546875" bestFit="1" customWidth="1"/>
    <col min="10249" max="10249" width="7" bestFit="1" customWidth="1"/>
    <col min="10250" max="10250" width="26.7109375" customWidth="1"/>
    <col min="10251" max="10251" width="17" customWidth="1"/>
    <col min="10497" max="10497" width="7.28515625" customWidth="1"/>
    <col min="10498" max="10498" width="17.140625" customWidth="1"/>
    <col min="10499" max="10499" width="8.7109375" customWidth="1"/>
    <col min="10500" max="10500" width="8.85546875" customWidth="1"/>
    <col min="10501" max="10502" width="9.140625" bestFit="1" customWidth="1"/>
    <col min="10503" max="10504" width="7.85546875" bestFit="1" customWidth="1"/>
    <col min="10505" max="10505" width="7" bestFit="1" customWidth="1"/>
    <col min="10506" max="10506" width="26.7109375" customWidth="1"/>
    <col min="10507" max="10507" width="17" customWidth="1"/>
    <col min="10753" max="10753" width="7.28515625" customWidth="1"/>
    <col min="10754" max="10754" width="17.140625" customWidth="1"/>
    <col min="10755" max="10755" width="8.7109375" customWidth="1"/>
    <col min="10756" max="10756" width="8.85546875" customWidth="1"/>
    <col min="10757" max="10758" width="9.140625" bestFit="1" customWidth="1"/>
    <col min="10759" max="10760" width="7.85546875" bestFit="1" customWidth="1"/>
    <col min="10761" max="10761" width="7" bestFit="1" customWidth="1"/>
    <col min="10762" max="10762" width="26.7109375" customWidth="1"/>
    <col min="10763" max="10763" width="17" customWidth="1"/>
    <col min="11009" max="11009" width="7.28515625" customWidth="1"/>
    <col min="11010" max="11010" width="17.140625" customWidth="1"/>
    <col min="11011" max="11011" width="8.7109375" customWidth="1"/>
    <col min="11012" max="11012" width="8.85546875" customWidth="1"/>
    <col min="11013" max="11014" width="9.140625" bestFit="1" customWidth="1"/>
    <col min="11015" max="11016" width="7.85546875" bestFit="1" customWidth="1"/>
    <col min="11017" max="11017" width="7" bestFit="1" customWidth="1"/>
    <col min="11018" max="11018" width="26.7109375" customWidth="1"/>
    <col min="11019" max="11019" width="17" customWidth="1"/>
    <col min="11265" max="11265" width="7.28515625" customWidth="1"/>
    <col min="11266" max="11266" width="17.140625" customWidth="1"/>
    <col min="11267" max="11267" width="8.7109375" customWidth="1"/>
    <col min="11268" max="11268" width="8.85546875" customWidth="1"/>
    <col min="11269" max="11270" width="9.140625" bestFit="1" customWidth="1"/>
    <col min="11271" max="11272" width="7.85546875" bestFit="1" customWidth="1"/>
    <col min="11273" max="11273" width="7" bestFit="1" customWidth="1"/>
    <col min="11274" max="11274" width="26.7109375" customWidth="1"/>
    <col min="11275" max="11275" width="17" customWidth="1"/>
    <col min="11521" max="11521" width="7.28515625" customWidth="1"/>
    <col min="11522" max="11522" width="17.140625" customWidth="1"/>
    <col min="11523" max="11523" width="8.7109375" customWidth="1"/>
    <col min="11524" max="11524" width="8.85546875" customWidth="1"/>
    <col min="11525" max="11526" width="9.140625" bestFit="1" customWidth="1"/>
    <col min="11527" max="11528" width="7.85546875" bestFit="1" customWidth="1"/>
    <col min="11529" max="11529" width="7" bestFit="1" customWidth="1"/>
    <col min="11530" max="11530" width="26.7109375" customWidth="1"/>
    <col min="11531" max="11531" width="17" customWidth="1"/>
    <col min="11777" max="11777" width="7.28515625" customWidth="1"/>
    <col min="11778" max="11778" width="17.140625" customWidth="1"/>
    <col min="11779" max="11779" width="8.7109375" customWidth="1"/>
    <col min="11780" max="11780" width="8.85546875" customWidth="1"/>
    <col min="11781" max="11782" width="9.140625" bestFit="1" customWidth="1"/>
    <col min="11783" max="11784" width="7.85546875" bestFit="1" customWidth="1"/>
    <col min="11785" max="11785" width="7" bestFit="1" customWidth="1"/>
    <col min="11786" max="11786" width="26.7109375" customWidth="1"/>
    <col min="11787" max="11787" width="17" customWidth="1"/>
    <col min="12033" max="12033" width="7.28515625" customWidth="1"/>
    <col min="12034" max="12034" width="17.140625" customWidth="1"/>
    <col min="12035" max="12035" width="8.7109375" customWidth="1"/>
    <col min="12036" max="12036" width="8.85546875" customWidth="1"/>
    <col min="12037" max="12038" width="9.140625" bestFit="1" customWidth="1"/>
    <col min="12039" max="12040" width="7.85546875" bestFit="1" customWidth="1"/>
    <col min="12041" max="12041" width="7" bestFit="1" customWidth="1"/>
    <col min="12042" max="12042" width="26.7109375" customWidth="1"/>
    <col min="12043" max="12043" width="17" customWidth="1"/>
    <col min="12289" max="12289" width="7.28515625" customWidth="1"/>
    <col min="12290" max="12290" width="17.140625" customWidth="1"/>
    <col min="12291" max="12291" width="8.7109375" customWidth="1"/>
    <col min="12292" max="12292" width="8.85546875" customWidth="1"/>
    <col min="12293" max="12294" width="9.140625" bestFit="1" customWidth="1"/>
    <col min="12295" max="12296" width="7.85546875" bestFit="1" customWidth="1"/>
    <col min="12297" max="12297" width="7" bestFit="1" customWidth="1"/>
    <col min="12298" max="12298" width="26.7109375" customWidth="1"/>
    <col min="12299" max="12299" width="17" customWidth="1"/>
    <col min="12545" max="12545" width="7.28515625" customWidth="1"/>
    <col min="12546" max="12546" width="17.140625" customWidth="1"/>
    <col min="12547" max="12547" width="8.7109375" customWidth="1"/>
    <col min="12548" max="12548" width="8.85546875" customWidth="1"/>
    <col min="12549" max="12550" width="9.140625" bestFit="1" customWidth="1"/>
    <col min="12551" max="12552" width="7.85546875" bestFit="1" customWidth="1"/>
    <col min="12553" max="12553" width="7" bestFit="1" customWidth="1"/>
    <col min="12554" max="12554" width="26.7109375" customWidth="1"/>
    <col min="12555" max="12555" width="17" customWidth="1"/>
    <col min="12801" max="12801" width="7.28515625" customWidth="1"/>
    <col min="12802" max="12802" width="17.140625" customWidth="1"/>
    <col min="12803" max="12803" width="8.7109375" customWidth="1"/>
    <col min="12804" max="12804" width="8.85546875" customWidth="1"/>
    <col min="12805" max="12806" width="9.140625" bestFit="1" customWidth="1"/>
    <col min="12807" max="12808" width="7.85546875" bestFit="1" customWidth="1"/>
    <col min="12809" max="12809" width="7" bestFit="1" customWidth="1"/>
    <col min="12810" max="12810" width="26.7109375" customWidth="1"/>
    <col min="12811" max="12811" width="17" customWidth="1"/>
    <col min="13057" max="13057" width="7.28515625" customWidth="1"/>
    <col min="13058" max="13058" width="17.140625" customWidth="1"/>
    <col min="13059" max="13059" width="8.7109375" customWidth="1"/>
    <col min="13060" max="13060" width="8.85546875" customWidth="1"/>
    <col min="13061" max="13062" width="9.140625" bestFit="1" customWidth="1"/>
    <col min="13063" max="13064" width="7.85546875" bestFit="1" customWidth="1"/>
    <col min="13065" max="13065" width="7" bestFit="1" customWidth="1"/>
    <col min="13066" max="13066" width="26.7109375" customWidth="1"/>
    <col min="13067" max="13067" width="17" customWidth="1"/>
    <col min="13313" max="13313" width="7.28515625" customWidth="1"/>
    <col min="13314" max="13314" width="17.140625" customWidth="1"/>
    <col min="13315" max="13315" width="8.7109375" customWidth="1"/>
    <col min="13316" max="13316" width="8.85546875" customWidth="1"/>
    <col min="13317" max="13318" width="9.140625" bestFit="1" customWidth="1"/>
    <col min="13319" max="13320" width="7.85546875" bestFit="1" customWidth="1"/>
    <col min="13321" max="13321" width="7" bestFit="1" customWidth="1"/>
    <col min="13322" max="13322" width="26.7109375" customWidth="1"/>
    <col min="13323" max="13323" width="17" customWidth="1"/>
    <col min="13569" max="13569" width="7.28515625" customWidth="1"/>
    <col min="13570" max="13570" width="17.140625" customWidth="1"/>
    <col min="13571" max="13571" width="8.7109375" customWidth="1"/>
    <col min="13572" max="13572" width="8.85546875" customWidth="1"/>
    <col min="13573" max="13574" width="9.140625" bestFit="1" customWidth="1"/>
    <col min="13575" max="13576" width="7.85546875" bestFit="1" customWidth="1"/>
    <col min="13577" max="13577" width="7" bestFit="1" customWidth="1"/>
    <col min="13578" max="13578" width="26.7109375" customWidth="1"/>
    <col min="13579" max="13579" width="17" customWidth="1"/>
    <col min="13825" max="13825" width="7.28515625" customWidth="1"/>
    <col min="13826" max="13826" width="17.140625" customWidth="1"/>
    <col min="13827" max="13827" width="8.7109375" customWidth="1"/>
    <col min="13828" max="13828" width="8.85546875" customWidth="1"/>
    <col min="13829" max="13830" width="9.140625" bestFit="1" customWidth="1"/>
    <col min="13831" max="13832" width="7.85546875" bestFit="1" customWidth="1"/>
    <col min="13833" max="13833" width="7" bestFit="1" customWidth="1"/>
    <col min="13834" max="13834" width="26.7109375" customWidth="1"/>
    <col min="13835" max="13835" width="17" customWidth="1"/>
    <col min="14081" max="14081" width="7.28515625" customWidth="1"/>
    <col min="14082" max="14082" width="17.140625" customWidth="1"/>
    <col min="14083" max="14083" width="8.7109375" customWidth="1"/>
    <col min="14084" max="14084" width="8.85546875" customWidth="1"/>
    <col min="14085" max="14086" width="9.140625" bestFit="1" customWidth="1"/>
    <col min="14087" max="14088" width="7.85546875" bestFit="1" customWidth="1"/>
    <col min="14089" max="14089" width="7" bestFit="1" customWidth="1"/>
    <col min="14090" max="14090" width="26.7109375" customWidth="1"/>
    <col min="14091" max="14091" width="17" customWidth="1"/>
    <col min="14337" max="14337" width="7.28515625" customWidth="1"/>
    <col min="14338" max="14338" width="17.140625" customWidth="1"/>
    <col min="14339" max="14339" width="8.7109375" customWidth="1"/>
    <col min="14340" max="14340" width="8.85546875" customWidth="1"/>
    <col min="14341" max="14342" width="9.140625" bestFit="1" customWidth="1"/>
    <col min="14343" max="14344" width="7.85546875" bestFit="1" customWidth="1"/>
    <col min="14345" max="14345" width="7" bestFit="1" customWidth="1"/>
    <col min="14346" max="14346" width="26.7109375" customWidth="1"/>
    <col min="14347" max="14347" width="17" customWidth="1"/>
    <col min="14593" max="14593" width="7.28515625" customWidth="1"/>
    <col min="14594" max="14594" width="17.140625" customWidth="1"/>
    <col min="14595" max="14595" width="8.7109375" customWidth="1"/>
    <col min="14596" max="14596" width="8.85546875" customWidth="1"/>
    <col min="14597" max="14598" width="9.140625" bestFit="1" customWidth="1"/>
    <col min="14599" max="14600" width="7.85546875" bestFit="1" customWidth="1"/>
    <col min="14601" max="14601" width="7" bestFit="1" customWidth="1"/>
    <col min="14602" max="14602" width="26.7109375" customWidth="1"/>
    <col min="14603" max="14603" width="17" customWidth="1"/>
    <col min="14849" max="14849" width="7.28515625" customWidth="1"/>
    <col min="14850" max="14850" width="17.140625" customWidth="1"/>
    <col min="14851" max="14851" width="8.7109375" customWidth="1"/>
    <col min="14852" max="14852" width="8.85546875" customWidth="1"/>
    <col min="14853" max="14854" width="9.140625" bestFit="1" customWidth="1"/>
    <col min="14855" max="14856" width="7.85546875" bestFit="1" customWidth="1"/>
    <col min="14857" max="14857" width="7" bestFit="1" customWidth="1"/>
    <col min="14858" max="14858" width="26.7109375" customWidth="1"/>
    <col min="14859" max="14859" width="17" customWidth="1"/>
    <col min="15105" max="15105" width="7.28515625" customWidth="1"/>
    <col min="15106" max="15106" width="17.140625" customWidth="1"/>
    <col min="15107" max="15107" width="8.7109375" customWidth="1"/>
    <col min="15108" max="15108" width="8.85546875" customWidth="1"/>
    <col min="15109" max="15110" width="9.140625" bestFit="1" customWidth="1"/>
    <col min="15111" max="15112" width="7.85546875" bestFit="1" customWidth="1"/>
    <col min="15113" max="15113" width="7" bestFit="1" customWidth="1"/>
    <col min="15114" max="15114" width="26.7109375" customWidth="1"/>
    <col min="15115" max="15115" width="17" customWidth="1"/>
    <col min="15361" max="15361" width="7.28515625" customWidth="1"/>
    <col min="15362" max="15362" width="17.140625" customWidth="1"/>
    <col min="15363" max="15363" width="8.7109375" customWidth="1"/>
    <col min="15364" max="15364" width="8.85546875" customWidth="1"/>
    <col min="15365" max="15366" width="9.140625" bestFit="1" customWidth="1"/>
    <col min="15367" max="15368" width="7.85546875" bestFit="1" customWidth="1"/>
    <col min="15369" max="15369" width="7" bestFit="1" customWidth="1"/>
    <col min="15370" max="15370" width="26.7109375" customWidth="1"/>
    <col min="15371" max="15371" width="17" customWidth="1"/>
    <col min="15617" max="15617" width="7.28515625" customWidth="1"/>
    <col min="15618" max="15618" width="17.140625" customWidth="1"/>
    <col min="15619" max="15619" width="8.7109375" customWidth="1"/>
    <col min="15620" max="15620" width="8.85546875" customWidth="1"/>
    <col min="15621" max="15622" width="9.140625" bestFit="1" customWidth="1"/>
    <col min="15623" max="15624" width="7.85546875" bestFit="1" customWidth="1"/>
    <col min="15625" max="15625" width="7" bestFit="1" customWidth="1"/>
    <col min="15626" max="15626" width="26.7109375" customWidth="1"/>
    <col min="15627" max="15627" width="17" customWidth="1"/>
    <col min="15873" max="15873" width="7.28515625" customWidth="1"/>
    <col min="15874" max="15874" width="17.140625" customWidth="1"/>
    <col min="15875" max="15875" width="8.7109375" customWidth="1"/>
    <col min="15876" max="15876" width="8.85546875" customWidth="1"/>
    <col min="15877" max="15878" width="9.140625" bestFit="1" customWidth="1"/>
    <col min="15879" max="15880" width="7.85546875" bestFit="1" customWidth="1"/>
    <col min="15881" max="15881" width="7" bestFit="1" customWidth="1"/>
    <col min="15882" max="15882" width="26.7109375" customWidth="1"/>
    <col min="15883" max="15883" width="17" customWidth="1"/>
    <col min="16129" max="16129" width="7.28515625" customWidth="1"/>
    <col min="16130" max="16130" width="17.140625" customWidth="1"/>
    <col min="16131" max="16131" width="8.7109375" customWidth="1"/>
    <col min="16132" max="16132" width="8.85546875" customWidth="1"/>
    <col min="16133" max="16134" width="9.140625" bestFit="1" customWidth="1"/>
    <col min="16135" max="16136" width="7.85546875" bestFit="1" customWidth="1"/>
    <col min="16137" max="16137" width="7" bestFit="1" customWidth="1"/>
    <col min="16138" max="16138" width="26.7109375" customWidth="1"/>
    <col min="16139" max="16139" width="17" customWidth="1"/>
  </cols>
  <sheetData>
    <row r="1" spans="1:11" ht="15.75" customHeight="1">
      <c r="A1" s="771" t="s">
        <v>0</v>
      </c>
      <c r="B1" s="772"/>
      <c r="C1" s="772"/>
      <c r="D1" s="772"/>
      <c r="E1" s="772"/>
      <c r="F1" s="772"/>
      <c r="G1" s="772"/>
      <c r="H1" s="772"/>
      <c r="I1" s="772"/>
      <c r="J1" s="772"/>
      <c r="K1" s="773"/>
    </row>
    <row r="2" spans="1:11">
      <c r="A2" s="774"/>
      <c r="B2" s="775"/>
      <c r="C2" s="775"/>
      <c r="D2" s="775"/>
      <c r="E2" s="775"/>
      <c r="F2" s="775"/>
      <c r="G2" s="775"/>
      <c r="H2" s="775"/>
      <c r="I2" s="775"/>
      <c r="J2" s="775"/>
      <c r="K2" s="776"/>
    </row>
    <row r="3" spans="1:11" ht="15" customHeight="1">
      <c r="A3" s="777" t="s">
        <v>1</v>
      </c>
      <c r="B3" s="779" t="s">
        <v>2</v>
      </c>
      <c r="C3" s="780" t="s">
        <v>3</v>
      </c>
      <c r="D3" s="780" t="s">
        <v>4</v>
      </c>
      <c r="E3" s="780"/>
      <c r="F3" s="780"/>
      <c r="G3" s="780"/>
      <c r="H3" s="780"/>
      <c r="I3" s="780"/>
      <c r="J3" s="782" t="s">
        <v>5</v>
      </c>
      <c r="K3" s="779" t="s">
        <v>6</v>
      </c>
    </row>
    <row r="4" spans="1:11" ht="36.75" customHeight="1">
      <c r="A4" s="778"/>
      <c r="B4" s="769"/>
      <c r="C4" s="781"/>
      <c r="D4" s="45" t="s">
        <v>7</v>
      </c>
      <c r="E4" s="47" t="s">
        <v>8</v>
      </c>
      <c r="F4" s="46" t="s">
        <v>9</v>
      </c>
      <c r="G4" s="47" t="s">
        <v>10</v>
      </c>
      <c r="H4" s="47" t="s">
        <v>11</v>
      </c>
      <c r="I4" s="47" t="s">
        <v>12</v>
      </c>
      <c r="J4" s="768"/>
      <c r="K4" s="769"/>
    </row>
    <row r="5" spans="1:11" ht="15" customHeight="1">
      <c r="A5" s="766"/>
      <c r="B5" s="769" t="s">
        <v>13</v>
      </c>
      <c r="C5" s="767" t="s">
        <v>14</v>
      </c>
      <c r="D5" s="48" t="s">
        <v>8</v>
      </c>
      <c r="E5" s="49">
        <f t="shared" ref="E5:E20" si="0">SUM(F5:I5)</f>
        <v>4422921.4499999993</v>
      </c>
      <c r="F5" s="49">
        <f>SUM(F6:F10)</f>
        <v>3685261.8499999996</v>
      </c>
      <c r="G5" s="49">
        <f>SUM(G6:G10)</f>
        <v>312651.09999999998</v>
      </c>
      <c r="H5" s="49">
        <f>SUM(H6:H10)</f>
        <v>389208.5</v>
      </c>
      <c r="I5" s="49">
        <f>SUM(I6:I10)</f>
        <v>35800</v>
      </c>
      <c r="J5" s="768"/>
      <c r="K5" s="769" t="s">
        <v>15</v>
      </c>
    </row>
    <row r="6" spans="1:11">
      <c r="A6" s="766"/>
      <c r="B6" s="769"/>
      <c r="C6" s="767"/>
      <c r="D6" s="48">
        <v>2016</v>
      </c>
      <c r="E6" s="49">
        <f t="shared" si="0"/>
        <v>596162.69999999995</v>
      </c>
      <c r="F6" s="49">
        <f t="shared" ref="F6:I10" si="1">SUM(F12,F84,F210,F408)</f>
        <v>528911.6</v>
      </c>
      <c r="G6" s="49">
        <f t="shared" si="1"/>
        <v>25501.9</v>
      </c>
      <c r="H6" s="49">
        <f t="shared" si="1"/>
        <v>20949.2</v>
      </c>
      <c r="I6" s="49">
        <f t="shared" si="1"/>
        <v>20800</v>
      </c>
      <c r="J6" s="768"/>
      <c r="K6" s="769"/>
    </row>
    <row r="7" spans="1:11">
      <c r="A7" s="766"/>
      <c r="B7" s="769"/>
      <c r="C7" s="767"/>
      <c r="D7" s="48">
        <v>2017</v>
      </c>
      <c r="E7" s="49">
        <f t="shared" si="0"/>
        <v>741436.5</v>
      </c>
      <c r="F7" s="49">
        <f t="shared" si="1"/>
        <v>622094.69999999995</v>
      </c>
      <c r="G7" s="49">
        <f t="shared" si="1"/>
        <v>37021</v>
      </c>
      <c r="H7" s="49">
        <f t="shared" si="1"/>
        <v>67320.800000000003</v>
      </c>
      <c r="I7" s="49">
        <f t="shared" si="1"/>
        <v>15000</v>
      </c>
      <c r="J7" s="768"/>
      <c r="K7" s="769"/>
    </row>
    <row r="8" spans="1:11">
      <c r="A8" s="766"/>
      <c r="B8" s="769"/>
      <c r="C8" s="767"/>
      <c r="D8" s="48">
        <v>2018</v>
      </c>
      <c r="E8" s="49">
        <f>SUM(F8:I8)</f>
        <v>1110454.9500000002</v>
      </c>
      <c r="F8" s="49">
        <f t="shared" si="1"/>
        <v>905928.75000000012</v>
      </c>
      <c r="G8" s="49">
        <f t="shared" si="1"/>
        <v>27185.4</v>
      </c>
      <c r="H8" s="49">
        <f t="shared" si="1"/>
        <v>177340.79999999999</v>
      </c>
      <c r="I8" s="49">
        <f t="shared" si="1"/>
        <v>0</v>
      </c>
      <c r="J8" s="768"/>
      <c r="K8" s="769"/>
    </row>
    <row r="9" spans="1:11">
      <c r="A9" s="766"/>
      <c r="B9" s="769"/>
      <c r="C9" s="767"/>
      <c r="D9" s="48">
        <v>2019</v>
      </c>
      <c r="E9" s="49">
        <f>SUM(F9:I9)</f>
        <v>1009314.6000000001</v>
      </c>
      <c r="F9" s="49">
        <f t="shared" si="1"/>
        <v>822250.50000000012</v>
      </c>
      <c r="G9" s="49">
        <f t="shared" si="1"/>
        <v>111471.4</v>
      </c>
      <c r="H9" s="49">
        <f t="shared" si="1"/>
        <v>75592.7</v>
      </c>
      <c r="I9" s="49">
        <f t="shared" si="1"/>
        <v>0</v>
      </c>
      <c r="J9" s="768"/>
      <c r="K9" s="769"/>
    </row>
    <row r="10" spans="1:11">
      <c r="A10" s="766"/>
      <c r="B10" s="769"/>
      <c r="C10" s="767"/>
      <c r="D10" s="48">
        <v>2020</v>
      </c>
      <c r="E10" s="49">
        <f>SUM(F10:I10)</f>
        <v>965552.70000000007</v>
      </c>
      <c r="F10" s="49">
        <f t="shared" si="1"/>
        <v>806076.3</v>
      </c>
      <c r="G10" s="49">
        <f t="shared" si="1"/>
        <v>111471.4</v>
      </c>
      <c r="H10" s="49">
        <f t="shared" si="1"/>
        <v>48005</v>
      </c>
      <c r="I10" s="49">
        <f t="shared" si="1"/>
        <v>0</v>
      </c>
      <c r="J10" s="768"/>
      <c r="K10" s="769"/>
    </row>
    <row r="11" spans="1:11" ht="15" customHeight="1">
      <c r="A11" s="766" t="s">
        <v>16</v>
      </c>
      <c r="B11" s="769" t="s">
        <v>17</v>
      </c>
      <c r="C11" s="767" t="s">
        <v>14</v>
      </c>
      <c r="D11" s="48" t="s">
        <v>8</v>
      </c>
      <c r="E11" s="49">
        <f t="shared" si="0"/>
        <v>234759.7</v>
      </c>
      <c r="F11" s="49">
        <f>SUM(F12:F16)</f>
        <v>192303.9</v>
      </c>
      <c r="G11" s="49">
        <f>SUM(G12:G16)</f>
        <v>42455.8</v>
      </c>
      <c r="H11" s="49">
        <f>SUM(H12:H16)</f>
        <v>0</v>
      </c>
      <c r="I11" s="49">
        <f>SUM(I12:I16)</f>
        <v>0</v>
      </c>
      <c r="J11" s="768"/>
      <c r="K11" s="769" t="s">
        <v>18</v>
      </c>
    </row>
    <row r="12" spans="1:11">
      <c r="A12" s="766"/>
      <c r="B12" s="769"/>
      <c r="C12" s="767"/>
      <c r="D12" s="48">
        <v>2016</v>
      </c>
      <c r="E12" s="49">
        <f t="shared" si="0"/>
        <v>20057.099999999999</v>
      </c>
      <c r="F12" s="49">
        <f t="shared" ref="F12:I16" si="2">F18+F60</f>
        <v>12120.599999999999</v>
      </c>
      <c r="G12" s="49">
        <f t="shared" si="2"/>
        <v>7936.5</v>
      </c>
      <c r="H12" s="49">
        <f t="shared" si="2"/>
        <v>0</v>
      </c>
      <c r="I12" s="49">
        <f t="shared" si="2"/>
        <v>0</v>
      </c>
      <c r="J12" s="768"/>
      <c r="K12" s="769"/>
    </row>
    <row r="13" spans="1:11">
      <c r="A13" s="766"/>
      <c r="B13" s="769"/>
      <c r="C13" s="767"/>
      <c r="D13" s="48">
        <v>2017</v>
      </c>
      <c r="E13" s="49">
        <f>SUM(F13:I13)</f>
        <v>29900.6</v>
      </c>
      <c r="F13" s="49">
        <f t="shared" si="2"/>
        <v>12200.599999999999</v>
      </c>
      <c r="G13" s="49">
        <f t="shared" si="2"/>
        <v>17700</v>
      </c>
      <c r="H13" s="49">
        <f t="shared" si="2"/>
        <v>0</v>
      </c>
      <c r="I13" s="49">
        <f t="shared" si="2"/>
        <v>0</v>
      </c>
      <c r="J13" s="768"/>
      <c r="K13" s="769"/>
    </row>
    <row r="14" spans="1:11">
      <c r="A14" s="766"/>
      <c r="B14" s="769"/>
      <c r="C14" s="767"/>
      <c r="D14" s="48">
        <v>2018</v>
      </c>
      <c r="E14" s="49">
        <f t="shared" si="0"/>
        <v>81862.3</v>
      </c>
      <c r="F14" s="49">
        <f>F20+F62</f>
        <v>65043</v>
      </c>
      <c r="G14" s="49">
        <f t="shared" si="2"/>
        <v>16819.3</v>
      </c>
      <c r="H14" s="49">
        <f t="shared" si="2"/>
        <v>0</v>
      </c>
      <c r="I14" s="49">
        <f t="shared" si="2"/>
        <v>0</v>
      </c>
      <c r="J14" s="768"/>
      <c r="K14" s="769"/>
    </row>
    <row r="15" spans="1:11">
      <c r="A15" s="766"/>
      <c r="B15" s="769"/>
      <c r="C15" s="767"/>
      <c r="D15" s="48">
        <v>2019</v>
      </c>
      <c r="E15" s="49">
        <f>SUM(F15:I15)</f>
        <v>51190.8</v>
      </c>
      <c r="F15" s="49">
        <f t="shared" si="2"/>
        <v>51190.8</v>
      </c>
      <c r="G15" s="49">
        <f t="shared" si="2"/>
        <v>0</v>
      </c>
      <c r="H15" s="49">
        <f t="shared" si="2"/>
        <v>0</v>
      </c>
      <c r="I15" s="49">
        <f t="shared" si="2"/>
        <v>0</v>
      </c>
      <c r="J15" s="768"/>
      <c r="K15" s="769"/>
    </row>
    <row r="16" spans="1:11">
      <c r="A16" s="766"/>
      <c r="B16" s="769"/>
      <c r="C16" s="767"/>
      <c r="D16" s="48">
        <v>2020</v>
      </c>
      <c r="E16" s="49">
        <f>SUM(F16:I16)</f>
        <v>51748.9</v>
      </c>
      <c r="F16" s="49">
        <f t="shared" si="2"/>
        <v>51748.9</v>
      </c>
      <c r="G16" s="49">
        <f t="shared" si="2"/>
        <v>0</v>
      </c>
      <c r="H16" s="49">
        <f t="shared" si="2"/>
        <v>0</v>
      </c>
      <c r="I16" s="49">
        <f t="shared" si="2"/>
        <v>0</v>
      </c>
      <c r="J16" s="768"/>
      <c r="K16" s="769"/>
    </row>
    <row r="17" spans="1:11" ht="15" customHeight="1">
      <c r="A17" s="766" t="s">
        <v>173</v>
      </c>
      <c r="B17" s="770" t="s">
        <v>20</v>
      </c>
      <c r="C17" s="767" t="s">
        <v>14</v>
      </c>
      <c r="D17" s="48" t="s">
        <v>8</v>
      </c>
      <c r="E17" s="49">
        <f t="shared" si="0"/>
        <v>193459.09999999998</v>
      </c>
      <c r="F17" s="49">
        <f>SUM(F18:F22)</f>
        <v>151962.79999999999</v>
      </c>
      <c r="G17" s="49">
        <f>SUM(G18:G22)</f>
        <v>41496.300000000003</v>
      </c>
      <c r="H17" s="49">
        <f>SUM(H18:H22)</f>
        <v>0</v>
      </c>
      <c r="I17" s="49">
        <f>SUM(I18:I22)</f>
        <v>0</v>
      </c>
      <c r="J17" s="768" t="s">
        <v>21</v>
      </c>
      <c r="K17" s="769" t="s">
        <v>18</v>
      </c>
    </row>
    <row r="18" spans="1:11">
      <c r="A18" s="766"/>
      <c r="B18" s="770"/>
      <c r="C18" s="767"/>
      <c r="D18" s="48">
        <v>2016</v>
      </c>
      <c r="E18" s="49">
        <f t="shared" si="0"/>
        <v>15841.4</v>
      </c>
      <c r="F18" s="49">
        <f t="shared" ref="F18:I22" si="3">SUM(F24, F30, F36, F42, F48, F54)</f>
        <v>8864.4</v>
      </c>
      <c r="G18" s="49">
        <f t="shared" si="3"/>
        <v>6977</v>
      </c>
      <c r="H18" s="49">
        <f t="shared" si="3"/>
        <v>0</v>
      </c>
      <c r="I18" s="49">
        <f t="shared" si="3"/>
        <v>0</v>
      </c>
      <c r="J18" s="768"/>
      <c r="K18" s="769"/>
    </row>
    <row r="19" spans="1:11">
      <c r="A19" s="766"/>
      <c r="B19" s="770"/>
      <c r="C19" s="767"/>
      <c r="D19" s="48">
        <v>2017</v>
      </c>
      <c r="E19" s="49">
        <f>SUM(F19:I19)</f>
        <v>27734.400000000001</v>
      </c>
      <c r="F19" s="49">
        <f t="shared" si="3"/>
        <v>10034.4</v>
      </c>
      <c r="G19" s="49">
        <f t="shared" si="3"/>
        <v>17700</v>
      </c>
      <c r="H19" s="49">
        <f t="shared" si="3"/>
        <v>0</v>
      </c>
      <c r="I19" s="49">
        <f t="shared" si="3"/>
        <v>0</v>
      </c>
      <c r="J19" s="768"/>
      <c r="K19" s="769"/>
    </row>
    <row r="20" spans="1:11" ht="16.5" customHeight="1">
      <c r="A20" s="766"/>
      <c r="B20" s="770"/>
      <c r="C20" s="767"/>
      <c r="D20" s="48">
        <v>2018</v>
      </c>
      <c r="E20" s="49">
        <f t="shared" si="0"/>
        <v>70543.899999999994</v>
      </c>
      <c r="F20" s="49">
        <f t="shared" si="3"/>
        <v>53724.6</v>
      </c>
      <c r="G20" s="49">
        <f t="shared" si="3"/>
        <v>16819.3</v>
      </c>
      <c r="H20" s="49">
        <f t="shared" si="3"/>
        <v>0</v>
      </c>
      <c r="I20" s="49">
        <f t="shared" si="3"/>
        <v>0</v>
      </c>
      <c r="J20" s="768"/>
      <c r="K20" s="769"/>
    </row>
    <row r="21" spans="1:11" ht="16.5" customHeight="1">
      <c r="A21" s="766"/>
      <c r="B21" s="770"/>
      <c r="C21" s="767"/>
      <c r="D21" s="48">
        <v>2019</v>
      </c>
      <c r="E21" s="49">
        <f>SUM(F21:I21)</f>
        <v>39555.1</v>
      </c>
      <c r="F21" s="49">
        <f t="shared" si="3"/>
        <v>39555.1</v>
      </c>
      <c r="G21" s="49">
        <f t="shared" si="3"/>
        <v>0</v>
      </c>
      <c r="H21" s="49">
        <f t="shared" si="3"/>
        <v>0</v>
      </c>
      <c r="I21" s="49">
        <f t="shared" si="3"/>
        <v>0</v>
      </c>
      <c r="J21" s="768"/>
      <c r="K21" s="769"/>
    </row>
    <row r="22" spans="1:11" ht="16.5" customHeight="1">
      <c r="A22" s="766"/>
      <c r="B22" s="770"/>
      <c r="C22" s="767"/>
      <c r="D22" s="48">
        <v>2020</v>
      </c>
      <c r="E22" s="49">
        <f>SUM(F22:I22)</f>
        <v>39784.300000000003</v>
      </c>
      <c r="F22" s="49">
        <f>SUM(F28, F34, F40, F46, F52, F58)</f>
        <v>39784.300000000003</v>
      </c>
      <c r="G22" s="49">
        <f t="shared" si="3"/>
        <v>0</v>
      </c>
      <c r="H22" s="49">
        <f t="shared" si="3"/>
        <v>0</v>
      </c>
      <c r="I22" s="49">
        <f t="shared" si="3"/>
        <v>0</v>
      </c>
      <c r="J22" s="768"/>
      <c r="K22" s="769"/>
    </row>
    <row r="23" spans="1:11" s="2" customFormat="1" ht="16.5" customHeight="1">
      <c r="A23" s="753" t="s">
        <v>19</v>
      </c>
      <c r="B23" s="754" t="s">
        <v>22</v>
      </c>
      <c r="C23" s="755" t="s">
        <v>14</v>
      </c>
      <c r="D23" s="44" t="s">
        <v>8</v>
      </c>
      <c r="E23" s="8">
        <f t="shared" ref="E23:E38" si="4">SUM(F23:I23)</f>
        <v>45144.800000000003</v>
      </c>
      <c r="F23" s="8">
        <f>SUM(F24:F28)</f>
        <v>45144.800000000003</v>
      </c>
      <c r="G23" s="8">
        <f>SUM(G24:G28)</f>
        <v>0</v>
      </c>
      <c r="H23" s="8">
        <f>SUM(H24:H28)</f>
        <v>0</v>
      </c>
      <c r="I23" s="8">
        <f>SUM(I24:I28)</f>
        <v>0</v>
      </c>
      <c r="J23" s="756" t="s">
        <v>180</v>
      </c>
      <c r="K23" s="757" t="s">
        <v>23</v>
      </c>
    </row>
    <row r="24" spans="1:11" s="2" customFormat="1">
      <c r="A24" s="753"/>
      <c r="B24" s="754"/>
      <c r="C24" s="755"/>
      <c r="D24" s="44">
        <v>2016</v>
      </c>
      <c r="E24" s="8">
        <f t="shared" si="4"/>
        <v>4096.3999999999996</v>
      </c>
      <c r="F24" s="8">
        <v>4096.3999999999996</v>
      </c>
      <c r="G24" s="9">
        <v>0</v>
      </c>
      <c r="H24" s="9">
        <v>0</v>
      </c>
      <c r="I24" s="9">
        <v>0</v>
      </c>
      <c r="J24" s="756"/>
      <c r="K24" s="757"/>
    </row>
    <row r="25" spans="1:11" s="2" customFormat="1">
      <c r="A25" s="753"/>
      <c r="B25" s="754"/>
      <c r="C25" s="755"/>
      <c r="D25" s="44">
        <v>2017</v>
      </c>
      <c r="E25" s="8">
        <f>SUM(F25:I25)</f>
        <v>5186.3999999999996</v>
      </c>
      <c r="F25" s="8">
        <v>5186.3999999999996</v>
      </c>
      <c r="G25" s="9">
        <v>0</v>
      </c>
      <c r="H25" s="9">
        <v>0</v>
      </c>
      <c r="I25" s="9">
        <v>0</v>
      </c>
      <c r="J25" s="756"/>
      <c r="K25" s="757"/>
    </row>
    <row r="26" spans="1:11" s="2" customFormat="1">
      <c r="A26" s="753"/>
      <c r="B26" s="754"/>
      <c r="C26" s="755"/>
      <c r="D26" s="44">
        <v>2018</v>
      </c>
      <c r="E26" s="8">
        <f t="shared" si="4"/>
        <v>13236.8</v>
      </c>
      <c r="F26" s="8">
        <v>13236.8</v>
      </c>
      <c r="G26" s="9">
        <v>0</v>
      </c>
      <c r="H26" s="9">
        <v>0</v>
      </c>
      <c r="I26" s="9">
        <v>0</v>
      </c>
      <c r="J26" s="756"/>
      <c r="K26" s="757"/>
    </row>
    <row r="27" spans="1:11" s="2" customFormat="1">
      <c r="A27" s="753"/>
      <c r="B27" s="754"/>
      <c r="C27" s="755"/>
      <c r="D27" s="44">
        <v>2019</v>
      </c>
      <c r="E27" s="8">
        <f>SUM(F27:I27)</f>
        <v>11198</v>
      </c>
      <c r="F27" s="8">
        <v>11198</v>
      </c>
      <c r="G27" s="9">
        <v>0</v>
      </c>
      <c r="H27" s="9">
        <v>0</v>
      </c>
      <c r="I27" s="9">
        <v>0</v>
      </c>
      <c r="J27" s="756"/>
      <c r="K27" s="757"/>
    </row>
    <row r="28" spans="1:11" s="2" customFormat="1">
      <c r="A28" s="753"/>
      <c r="B28" s="754"/>
      <c r="C28" s="755"/>
      <c r="D28" s="44">
        <v>2020</v>
      </c>
      <c r="E28" s="8">
        <f>SUM(F28:I28)</f>
        <v>11427.2</v>
      </c>
      <c r="F28" s="8">
        <v>11427.2</v>
      </c>
      <c r="G28" s="9">
        <v>0</v>
      </c>
      <c r="H28" s="9">
        <v>0</v>
      </c>
      <c r="I28" s="9">
        <v>0</v>
      </c>
      <c r="J28" s="756"/>
      <c r="K28" s="757"/>
    </row>
    <row r="29" spans="1:11" s="2" customFormat="1" ht="15" customHeight="1">
      <c r="A29" s="766" t="s">
        <v>181</v>
      </c>
      <c r="B29" s="770" t="s">
        <v>182</v>
      </c>
      <c r="C29" s="767" t="s">
        <v>14</v>
      </c>
      <c r="D29" s="48" t="s">
        <v>8</v>
      </c>
      <c r="E29" s="49">
        <f t="shared" si="4"/>
        <v>9090</v>
      </c>
      <c r="F29" s="49">
        <f>SUM(F30:F34)</f>
        <v>9090</v>
      </c>
      <c r="G29" s="49">
        <f>SUM(G30:G34)</f>
        <v>0</v>
      </c>
      <c r="H29" s="49">
        <f>SUM(H30:H34)</f>
        <v>0</v>
      </c>
      <c r="I29" s="49">
        <f>SUM(I30:I34)</f>
        <v>0</v>
      </c>
      <c r="J29" s="768" t="s">
        <v>25</v>
      </c>
      <c r="K29" s="769" t="s">
        <v>26</v>
      </c>
    </row>
    <row r="30" spans="1:11" s="2" customFormat="1">
      <c r="A30" s="766"/>
      <c r="B30" s="770"/>
      <c r="C30" s="767"/>
      <c r="D30" s="48">
        <v>2016</v>
      </c>
      <c r="E30" s="49">
        <f t="shared" si="4"/>
        <v>1818</v>
      </c>
      <c r="F30" s="49">
        <v>1818</v>
      </c>
      <c r="G30" s="50">
        <v>0</v>
      </c>
      <c r="H30" s="50">
        <v>0</v>
      </c>
      <c r="I30" s="50">
        <v>0</v>
      </c>
      <c r="J30" s="768"/>
      <c r="K30" s="769"/>
    </row>
    <row r="31" spans="1:11" s="2" customFormat="1">
      <c r="A31" s="766"/>
      <c r="B31" s="770"/>
      <c r="C31" s="767"/>
      <c r="D31" s="48">
        <v>2017</v>
      </c>
      <c r="E31" s="49">
        <f>SUM(F31:I31)</f>
        <v>1818</v>
      </c>
      <c r="F31" s="49">
        <v>1818</v>
      </c>
      <c r="G31" s="50">
        <v>0</v>
      </c>
      <c r="H31" s="50">
        <v>0</v>
      </c>
      <c r="I31" s="50">
        <v>0</v>
      </c>
      <c r="J31" s="768"/>
      <c r="K31" s="769"/>
    </row>
    <row r="32" spans="1:11" s="2" customFormat="1">
      <c r="A32" s="766"/>
      <c r="B32" s="770"/>
      <c r="C32" s="767"/>
      <c r="D32" s="48">
        <v>2018</v>
      </c>
      <c r="E32" s="49">
        <f t="shared" si="4"/>
        <v>1818</v>
      </c>
      <c r="F32" s="49">
        <v>1818</v>
      </c>
      <c r="G32" s="50">
        <v>0</v>
      </c>
      <c r="H32" s="50">
        <v>0</v>
      </c>
      <c r="I32" s="50">
        <v>0</v>
      </c>
      <c r="J32" s="768"/>
      <c r="K32" s="769"/>
    </row>
    <row r="33" spans="1:11" s="2" customFormat="1">
      <c r="A33" s="766"/>
      <c r="B33" s="770"/>
      <c r="C33" s="767"/>
      <c r="D33" s="48">
        <v>2019</v>
      </c>
      <c r="E33" s="49">
        <f>SUM(F33:I33)</f>
        <v>1818</v>
      </c>
      <c r="F33" s="49">
        <v>1818</v>
      </c>
      <c r="G33" s="50">
        <v>0</v>
      </c>
      <c r="H33" s="50">
        <v>0</v>
      </c>
      <c r="I33" s="50">
        <v>0</v>
      </c>
      <c r="J33" s="768"/>
      <c r="K33" s="769"/>
    </row>
    <row r="34" spans="1:11" s="2" customFormat="1">
      <c r="A34" s="766"/>
      <c r="B34" s="770"/>
      <c r="C34" s="767"/>
      <c r="D34" s="48">
        <v>2020</v>
      </c>
      <c r="E34" s="49">
        <f>SUM(F34:I34)</f>
        <v>1818</v>
      </c>
      <c r="F34" s="49">
        <v>1818</v>
      </c>
      <c r="G34" s="50">
        <v>0</v>
      </c>
      <c r="H34" s="50">
        <v>0</v>
      </c>
      <c r="I34" s="50">
        <v>0</v>
      </c>
      <c r="J34" s="768"/>
      <c r="K34" s="769"/>
    </row>
    <row r="35" spans="1:11" s="2" customFormat="1" ht="13.5" customHeight="1">
      <c r="A35" s="753" t="s">
        <v>183</v>
      </c>
      <c r="B35" s="754" t="s">
        <v>27</v>
      </c>
      <c r="C35" s="755" t="s">
        <v>14</v>
      </c>
      <c r="D35" s="48" t="s">
        <v>8</v>
      </c>
      <c r="E35" s="8">
        <f t="shared" si="4"/>
        <v>14250</v>
      </c>
      <c r="F35" s="8">
        <f>SUM(F36:F40)</f>
        <v>14250</v>
      </c>
      <c r="G35" s="8">
        <f>SUM(G36:G40)</f>
        <v>0</v>
      </c>
      <c r="H35" s="8">
        <f>SUM(H36:H40)</f>
        <v>0</v>
      </c>
      <c r="I35" s="8">
        <f>SUM(I36:I40)</f>
        <v>0</v>
      </c>
      <c r="J35" s="756" t="s">
        <v>28</v>
      </c>
      <c r="K35" s="757" t="s">
        <v>23</v>
      </c>
    </row>
    <row r="36" spans="1:11" s="2" customFormat="1" ht="13.5" customHeight="1">
      <c r="A36" s="753"/>
      <c r="B36" s="754"/>
      <c r="C36" s="755"/>
      <c r="D36" s="48">
        <v>2016</v>
      </c>
      <c r="E36" s="8">
        <f t="shared" si="4"/>
        <v>2850</v>
      </c>
      <c r="F36" s="8">
        <v>2850</v>
      </c>
      <c r="G36" s="9">
        <v>0</v>
      </c>
      <c r="H36" s="9">
        <v>0</v>
      </c>
      <c r="I36" s="9">
        <v>0</v>
      </c>
      <c r="J36" s="756"/>
      <c r="K36" s="757"/>
    </row>
    <row r="37" spans="1:11" s="2" customFormat="1" ht="13.5" customHeight="1">
      <c r="A37" s="753"/>
      <c r="B37" s="754"/>
      <c r="C37" s="755"/>
      <c r="D37" s="48">
        <v>2017</v>
      </c>
      <c r="E37" s="8">
        <f>SUM(F37:I37)</f>
        <v>2850</v>
      </c>
      <c r="F37" s="8">
        <v>2850</v>
      </c>
      <c r="G37" s="9">
        <v>0</v>
      </c>
      <c r="H37" s="9">
        <v>0</v>
      </c>
      <c r="I37" s="9">
        <v>0</v>
      </c>
      <c r="J37" s="756"/>
      <c r="K37" s="757"/>
    </row>
    <row r="38" spans="1:11" s="2" customFormat="1" ht="13.5" customHeight="1">
      <c r="A38" s="753"/>
      <c r="B38" s="754"/>
      <c r="C38" s="755"/>
      <c r="D38" s="48">
        <v>2018</v>
      </c>
      <c r="E38" s="8">
        <f t="shared" si="4"/>
        <v>2850</v>
      </c>
      <c r="F38" s="8">
        <v>2850</v>
      </c>
      <c r="G38" s="9">
        <v>0</v>
      </c>
      <c r="H38" s="9">
        <v>0</v>
      </c>
      <c r="I38" s="9">
        <v>0</v>
      </c>
      <c r="J38" s="756"/>
      <c r="K38" s="757"/>
    </row>
    <row r="39" spans="1:11" s="2" customFormat="1" ht="13.5" customHeight="1">
      <c r="A39" s="753"/>
      <c r="B39" s="754"/>
      <c r="C39" s="755"/>
      <c r="D39" s="48">
        <v>2019</v>
      </c>
      <c r="E39" s="8">
        <f t="shared" ref="E39:E45" si="5">SUM(F39:I39)</f>
        <v>2850</v>
      </c>
      <c r="F39" s="8">
        <v>2850</v>
      </c>
      <c r="G39" s="9">
        <v>0</v>
      </c>
      <c r="H39" s="9">
        <v>0</v>
      </c>
      <c r="I39" s="9">
        <v>0</v>
      </c>
      <c r="J39" s="756"/>
      <c r="K39" s="757"/>
    </row>
    <row r="40" spans="1:11" s="2" customFormat="1" ht="13.5" customHeight="1">
      <c r="A40" s="753"/>
      <c r="B40" s="754"/>
      <c r="C40" s="755"/>
      <c r="D40" s="48">
        <v>2020</v>
      </c>
      <c r="E40" s="8">
        <f>SUM(F40:I40)</f>
        <v>2850</v>
      </c>
      <c r="F40" s="8">
        <v>2850</v>
      </c>
      <c r="G40" s="9">
        <v>0</v>
      </c>
      <c r="H40" s="9">
        <v>0</v>
      </c>
      <c r="I40" s="9">
        <v>0</v>
      </c>
      <c r="J40" s="756"/>
      <c r="K40" s="757"/>
    </row>
    <row r="41" spans="1:11" s="2" customFormat="1" ht="15.75" customHeight="1">
      <c r="A41" s="753" t="s">
        <v>184</v>
      </c>
      <c r="B41" s="754" t="s">
        <v>29</v>
      </c>
      <c r="C41" s="755" t="s">
        <v>152</v>
      </c>
      <c r="D41" s="48" t="s">
        <v>8</v>
      </c>
      <c r="E41" s="8">
        <f t="shared" si="5"/>
        <v>63591.899999999994</v>
      </c>
      <c r="F41" s="8">
        <f>SUM(F42:F46)</f>
        <v>29771.3</v>
      </c>
      <c r="G41" s="8">
        <f>SUM(G42:G46)</f>
        <v>33820.6</v>
      </c>
      <c r="H41" s="8">
        <f>SUM(H42:H46)</f>
        <v>0</v>
      </c>
      <c r="I41" s="8">
        <f>SUM(I42:I46)</f>
        <v>0</v>
      </c>
      <c r="J41" s="756" t="s">
        <v>31</v>
      </c>
      <c r="K41" s="756" t="s">
        <v>32</v>
      </c>
    </row>
    <row r="42" spans="1:11" s="2" customFormat="1">
      <c r="A42" s="753"/>
      <c r="B42" s="754"/>
      <c r="C42" s="755"/>
      <c r="D42" s="48">
        <v>2016</v>
      </c>
      <c r="E42" s="8">
        <f t="shared" si="5"/>
        <v>7077</v>
      </c>
      <c r="F42" s="9">
        <v>100</v>
      </c>
      <c r="G42" s="9">
        <v>6977</v>
      </c>
      <c r="H42" s="9">
        <v>0</v>
      </c>
      <c r="I42" s="9">
        <v>0</v>
      </c>
      <c r="J42" s="756"/>
      <c r="K42" s="756"/>
    </row>
    <row r="43" spans="1:11" s="2" customFormat="1">
      <c r="A43" s="753"/>
      <c r="B43" s="754"/>
      <c r="C43" s="755"/>
      <c r="D43" s="48">
        <v>2017</v>
      </c>
      <c r="E43" s="8">
        <f t="shared" si="5"/>
        <v>17880</v>
      </c>
      <c r="F43" s="9">
        <v>180</v>
      </c>
      <c r="G43" s="9">
        <v>17700</v>
      </c>
      <c r="H43" s="9">
        <v>0</v>
      </c>
      <c r="I43" s="9">
        <v>0</v>
      </c>
      <c r="J43" s="756"/>
      <c r="K43" s="756"/>
    </row>
    <row r="44" spans="1:11" s="2" customFormat="1">
      <c r="A44" s="753"/>
      <c r="B44" s="754"/>
      <c r="C44" s="755"/>
      <c r="D44" s="48">
        <v>2018</v>
      </c>
      <c r="E44" s="8">
        <f t="shared" si="5"/>
        <v>12878.3</v>
      </c>
      <c r="F44" s="9">
        <v>3734.7</v>
      </c>
      <c r="G44" s="9">
        <v>9143.6</v>
      </c>
      <c r="H44" s="9">
        <v>0</v>
      </c>
      <c r="I44" s="9">
        <v>0</v>
      </c>
      <c r="J44" s="756"/>
      <c r="K44" s="756"/>
    </row>
    <row r="45" spans="1:11" s="2" customFormat="1">
      <c r="A45" s="753"/>
      <c r="B45" s="754"/>
      <c r="C45" s="755"/>
      <c r="D45" s="48">
        <v>2019</v>
      </c>
      <c r="E45" s="8">
        <f t="shared" si="5"/>
        <v>12878.3</v>
      </c>
      <c r="F45" s="9">
        <v>12878.3</v>
      </c>
      <c r="G45" s="9">
        <v>0</v>
      </c>
      <c r="H45" s="9">
        <v>0</v>
      </c>
      <c r="I45" s="9">
        <v>0</v>
      </c>
      <c r="J45" s="756"/>
      <c r="K45" s="756"/>
    </row>
    <row r="46" spans="1:11" s="2" customFormat="1">
      <c r="A46" s="753"/>
      <c r="B46" s="754"/>
      <c r="C46" s="755"/>
      <c r="D46" s="48">
        <v>2020</v>
      </c>
      <c r="E46" s="8">
        <f>SUM(F46:I46)</f>
        <v>12878.3</v>
      </c>
      <c r="F46" s="9">
        <v>12878.3</v>
      </c>
      <c r="G46" s="9">
        <v>0</v>
      </c>
      <c r="H46" s="9">
        <v>0</v>
      </c>
      <c r="I46" s="9">
        <v>0</v>
      </c>
      <c r="J46" s="756"/>
      <c r="K46" s="756"/>
    </row>
    <row r="47" spans="1:11" s="2" customFormat="1" ht="15" customHeight="1">
      <c r="A47" s="765" t="s">
        <v>185</v>
      </c>
      <c r="B47" s="760" t="s">
        <v>186</v>
      </c>
      <c r="C47" s="762" t="s">
        <v>187</v>
      </c>
      <c r="D47" s="51" t="s">
        <v>8</v>
      </c>
      <c r="E47" s="8">
        <f t="shared" ref="E47:E68" si="6">SUM(F47:I47)</f>
        <v>32432.399999999998</v>
      </c>
      <c r="F47" s="8">
        <f>SUM(F48:F52)</f>
        <v>24756.699999999997</v>
      </c>
      <c r="G47" s="8">
        <f>SUM(G48:G52)</f>
        <v>7675.7</v>
      </c>
      <c r="H47" s="8">
        <f>SUM(H48:H52)</f>
        <v>0</v>
      </c>
      <c r="I47" s="8">
        <f>SUM(I48:I52)</f>
        <v>0</v>
      </c>
      <c r="J47" s="756" t="s">
        <v>188</v>
      </c>
      <c r="K47" s="757" t="s">
        <v>26</v>
      </c>
    </row>
    <row r="48" spans="1:11" s="2" customFormat="1">
      <c r="A48" s="762"/>
      <c r="B48" s="760"/>
      <c r="C48" s="762"/>
      <c r="D48" s="51">
        <v>2016</v>
      </c>
      <c r="E48" s="8">
        <f t="shared" si="6"/>
        <v>0</v>
      </c>
      <c r="F48" s="9">
        <v>0</v>
      </c>
      <c r="G48" s="9">
        <v>0</v>
      </c>
      <c r="H48" s="9">
        <v>0</v>
      </c>
      <c r="I48" s="9">
        <v>0</v>
      </c>
      <c r="J48" s="756"/>
      <c r="K48" s="757"/>
    </row>
    <row r="49" spans="1:11" s="2" customFormat="1">
      <c r="A49" s="762"/>
      <c r="B49" s="760"/>
      <c r="C49" s="762"/>
      <c r="D49" s="51">
        <v>2017</v>
      </c>
      <c r="E49" s="8">
        <f t="shared" si="6"/>
        <v>0</v>
      </c>
      <c r="F49" s="9">
        <v>0</v>
      </c>
      <c r="G49" s="9">
        <v>0</v>
      </c>
      <c r="H49" s="9">
        <v>0</v>
      </c>
      <c r="I49" s="9">
        <v>0</v>
      </c>
      <c r="J49" s="756"/>
      <c r="K49" s="757"/>
    </row>
    <row r="50" spans="1:11" s="2" customFormat="1">
      <c r="A50" s="762"/>
      <c r="B50" s="760"/>
      <c r="C50" s="762"/>
      <c r="D50" s="44">
        <v>2018</v>
      </c>
      <c r="E50" s="8">
        <f t="shared" si="6"/>
        <v>10810.8</v>
      </c>
      <c r="F50" s="9">
        <v>3135.1</v>
      </c>
      <c r="G50" s="9">
        <v>7675.7</v>
      </c>
      <c r="H50" s="9">
        <v>0</v>
      </c>
      <c r="I50" s="9">
        <v>0</v>
      </c>
      <c r="J50" s="756"/>
      <c r="K50" s="757"/>
    </row>
    <row r="51" spans="1:11" s="2" customFormat="1">
      <c r="A51" s="762"/>
      <c r="B51" s="760"/>
      <c r="C51" s="762"/>
      <c r="D51" s="44">
        <v>2019</v>
      </c>
      <c r="E51" s="8">
        <f t="shared" si="6"/>
        <v>10810.8</v>
      </c>
      <c r="F51" s="9">
        <v>10810.8</v>
      </c>
      <c r="G51" s="9">
        <v>0</v>
      </c>
      <c r="H51" s="9">
        <v>0</v>
      </c>
      <c r="I51" s="9">
        <v>0</v>
      </c>
      <c r="J51" s="756"/>
      <c r="K51" s="757"/>
    </row>
    <row r="52" spans="1:11" s="2" customFormat="1">
      <c r="A52" s="762"/>
      <c r="B52" s="760"/>
      <c r="C52" s="762"/>
      <c r="D52" s="44">
        <v>2020</v>
      </c>
      <c r="E52" s="8">
        <f t="shared" si="6"/>
        <v>10810.8</v>
      </c>
      <c r="F52" s="9">
        <v>10810.8</v>
      </c>
      <c r="G52" s="9">
        <v>0</v>
      </c>
      <c r="H52" s="9">
        <v>0</v>
      </c>
      <c r="I52" s="9">
        <v>0</v>
      </c>
      <c r="J52" s="756"/>
      <c r="K52" s="757"/>
    </row>
    <row r="53" spans="1:11" s="2" customFormat="1" ht="15" customHeight="1">
      <c r="A53" s="765" t="s">
        <v>189</v>
      </c>
      <c r="B53" s="760" t="s">
        <v>190</v>
      </c>
      <c r="C53" s="762">
        <v>2018</v>
      </c>
      <c r="D53" s="51" t="s">
        <v>8</v>
      </c>
      <c r="E53" s="8">
        <f t="shared" si="6"/>
        <v>28950</v>
      </c>
      <c r="F53" s="8">
        <f>SUM(F54:F58)</f>
        <v>28950</v>
      </c>
      <c r="G53" s="8">
        <f>SUM(G54:G58)</f>
        <v>0</v>
      </c>
      <c r="H53" s="8">
        <f>SUM(H54:H58)</f>
        <v>0</v>
      </c>
      <c r="I53" s="8">
        <f>SUM(I54:I58)</f>
        <v>0</v>
      </c>
      <c r="J53" s="756" t="s">
        <v>191</v>
      </c>
      <c r="K53" s="757" t="s">
        <v>26</v>
      </c>
    </row>
    <row r="54" spans="1:11" s="2" customFormat="1">
      <c r="A54" s="762"/>
      <c r="B54" s="760"/>
      <c r="C54" s="762"/>
      <c r="D54" s="51">
        <v>2016</v>
      </c>
      <c r="E54" s="8">
        <f t="shared" si="6"/>
        <v>0</v>
      </c>
      <c r="F54" s="9">
        <v>0</v>
      </c>
      <c r="G54" s="9">
        <v>0</v>
      </c>
      <c r="H54" s="9">
        <v>0</v>
      </c>
      <c r="I54" s="9">
        <v>0</v>
      </c>
      <c r="J54" s="756"/>
      <c r="K54" s="757"/>
    </row>
    <row r="55" spans="1:11" s="2" customFormat="1">
      <c r="A55" s="762"/>
      <c r="B55" s="760"/>
      <c r="C55" s="762"/>
      <c r="D55" s="51">
        <v>2017</v>
      </c>
      <c r="E55" s="8">
        <f t="shared" si="6"/>
        <v>0</v>
      </c>
      <c r="F55" s="9">
        <v>0</v>
      </c>
      <c r="G55" s="9">
        <v>0</v>
      </c>
      <c r="H55" s="9">
        <v>0</v>
      </c>
      <c r="I55" s="9">
        <v>0</v>
      </c>
      <c r="J55" s="756"/>
      <c r="K55" s="757"/>
    </row>
    <row r="56" spans="1:11" s="2" customFormat="1">
      <c r="A56" s="762"/>
      <c r="B56" s="760"/>
      <c r="C56" s="762"/>
      <c r="D56" s="44">
        <v>2018</v>
      </c>
      <c r="E56" s="8">
        <f t="shared" si="6"/>
        <v>28950</v>
      </c>
      <c r="F56" s="9">
        <v>28950</v>
      </c>
      <c r="G56" s="9">
        <v>0</v>
      </c>
      <c r="H56" s="9">
        <v>0</v>
      </c>
      <c r="I56" s="9">
        <v>0</v>
      </c>
      <c r="J56" s="756"/>
      <c r="K56" s="757"/>
    </row>
    <row r="57" spans="1:11" s="2" customFormat="1">
      <c r="A57" s="762"/>
      <c r="B57" s="760"/>
      <c r="C57" s="762"/>
      <c r="D57" s="44">
        <v>2019</v>
      </c>
      <c r="E57" s="8">
        <f t="shared" si="6"/>
        <v>0</v>
      </c>
      <c r="F57" s="9">
        <v>0</v>
      </c>
      <c r="G57" s="9">
        <v>0</v>
      </c>
      <c r="H57" s="9">
        <v>0</v>
      </c>
      <c r="I57" s="9">
        <v>0</v>
      </c>
      <c r="J57" s="756"/>
      <c r="K57" s="757"/>
    </row>
    <row r="58" spans="1:11" s="2" customFormat="1">
      <c r="A58" s="762"/>
      <c r="B58" s="760"/>
      <c r="C58" s="762"/>
      <c r="D58" s="44">
        <v>2020</v>
      </c>
      <c r="E58" s="8">
        <f t="shared" si="6"/>
        <v>0</v>
      </c>
      <c r="F58" s="9">
        <v>0</v>
      </c>
      <c r="G58" s="9">
        <v>0</v>
      </c>
      <c r="H58" s="9">
        <v>0</v>
      </c>
      <c r="I58" s="9">
        <v>0</v>
      </c>
      <c r="J58" s="756"/>
      <c r="K58" s="757"/>
    </row>
    <row r="59" spans="1:11" ht="20.100000000000001" customHeight="1">
      <c r="A59" s="753" t="s">
        <v>174</v>
      </c>
      <c r="B59" s="754" t="s">
        <v>34</v>
      </c>
      <c r="C59" s="755" t="s">
        <v>14</v>
      </c>
      <c r="D59" s="48" t="s">
        <v>8</v>
      </c>
      <c r="E59" s="8">
        <f t="shared" si="6"/>
        <v>41300.6</v>
      </c>
      <c r="F59" s="8">
        <f>SUM(F60:F64)</f>
        <v>40341.1</v>
      </c>
      <c r="G59" s="8">
        <f>SUM(G60:G63)</f>
        <v>959.5</v>
      </c>
      <c r="H59" s="8">
        <f>SUM(H60:H63)</f>
        <v>0</v>
      </c>
      <c r="I59" s="8">
        <f>SUM(I60:I63)</f>
        <v>0</v>
      </c>
      <c r="J59" s="756" t="s">
        <v>35</v>
      </c>
      <c r="K59" s="757" t="s">
        <v>26</v>
      </c>
    </row>
    <row r="60" spans="1:11" ht="20.100000000000001" customHeight="1">
      <c r="A60" s="753"/>
      <c r="B60" s="754"/>
      <c r="C60" s="755"/>
      <c r="D60" s="48">
        <v>2016</v>
      </c>
      <c r="E60" s="8">
        <f t="shared" si="6"/>
        <v>4215.7</v>
      </c>
      <c r="F60" s="8">
        <f t="shared" ref="F60:I64" si="7">F66+F72+F78</f>
        <v>3256.2</v>
      </c>
      <c r="G60" s="8">
        <f t="shared" si="7"/>
        <v>959.5</v>
      </c>
      <c r="H60" s="8">
        <f t="shared" si="7"/>
        <v>0</v>
      </c>
      <c r="I60" s="8">
        <f t="shared" si="7"/>
        <v>0</v>
      </c>
      <c r="J60" s="756"/>
      <c r="K60" s="757"/>
    </row>
    <row r="61" spans="1:11" ht="20.100000000000001" customHeight="1">
      <c r="A61" s="753"/>
      <c r="B61" s="754"/>
      <c r="C61" s="755"/>
      <c r="D61" s="48">
        <v>2017</v>
      </c>
      <c r="E61" s="8">
        <f>SUM(F61:I61)</f>
        <v>2166.1999999999998</v>
      </c>
      <c r="F61" s="8">
        <f t="shared" si="7"/>
        <v>2166.1999999999998</v>
      </c>
      <c r="G61" s="8">
        <f t="shared" si="7"/>
        <v>0</v>
      </c>
      <c r="H61" s="8">
        <f t="shared" si="7"/>
        <v>0</v>
      </c>
      <c r="I61" s="8">
        <f t="shared" si="7"/>
        <v>0</v>
      </c>
      <c r="J61" s="756"/>
      <c r="K61" s="757"/>
    </row>
    <row r="62" spans="1:11" ht="20.100000000000001" customHeight="1">
      <c r="A62" s="753"/>
      <c r="B62" s="754"/>
      <c r="C62" s="755"/>
      <c r="D62" s="48">
        <v>2018</v>
      </c>
      <c r="E62" s="8">
        <f t="shared" si="6"/>
        <v>11318.4</v>
      </c>
      <c r="F62" s="8">
        <f t="shared" si="7"/>
        <v>11318.4</v>
      </c>
      <c r="G62" s="8">
        <f t="shared" si="7"/>
        <v>0</v>
      </c>
      <c r="H62" s="8">
        <f t="shared" si="7"/>
        <v>0</v>
      </c>
      <c r="I62" s="8">
        <f t="shared" si="7"/>
        <v>0</v>
      </c>
      <c r="J62" s="756"/>
      <c r="K62" s="757"/>
    </row>
    <row r="63" spans="1:11" ht="20.100000000000001" customHeight="1">
      <c r="A63" s="753"/>
      <c r="B63" s="754"/>
      <c r="C63" s="755"/>
      <c r="D63" s="48">
        <v>2019</v>
      </c>
      <c r="E63" s="8">
        <f>SUM(F63:I63)</f>
        <v>11635.7</v>
      </c>
      <c r="F63" s="8">
        <f t="shared" si="7"/>
        <v>11635.7</v>
      </c>
      <c r="G63" s="8">
        <f t="shared" si="7"/>
        <v>0</v>
      </c>
      <c r="H63" s="8">
        <f t="shared" si="7"/>
        <v>0</v>
      </c>
      <c r="I63" s="8">
        <f t="shared" si="7"/>
        <v>0</v>
      </c>
      <c r="J63" s="756"/>
      <c r="K63" s="757"/>
    </row>
    <row r="64" spans="1:11" ht="20.100000000000001" customHeight="1">
      <c r="A64" s="753"/>
      <c r="B64" s="754"/>
      <c r="C64" s="755"/>
      <c r="D64" s="48">
        <v>2020</v>
      </c>
      <c r="E64" s="8">
        <f>SUM(F64:I64)</f>
        <v>11964.6</v>
      </c>
      <c r="F64" s="8">
        <f t="shared" si="7"/>
        <v>11964.6</v>
      </c>
      <c r="G64" s="8">
        <f t="shared" si="7"/>
        <v>0</v>
      </c>
      <c r="H64" s="8">
        <f t="shared" si="7"/>
        <v>0</v>
      </c>
      <c r="I64" s="8">
        <f t="shared" si="7"/>
        <v>0</v>
      </c>
      <c r="J64" s="756"/>
      <c r="K64" s="757"/>
    </row>
    <row r="65" spans="1:11" s="2" customFormat="1" ht="18.75" customHeight="1">
      <c r="A65" s="753" t="s">
        <v>33</v>
      </c>
      <c r="B65" s="754" t="s">
        <v>36</v>
      </c>
      <c r="C65" s="755" t="s">
        <v>160</v>
      </c>
      <c r="D65" s="48" t="s">
        <v>8</v>
      </c>
      <c r="E65" s="8">
        <f t="shared" si="6"/>
        <v>950</v>
      </c>
      <c r="F65" s="8">
        <f>SUM(F66:F70)</f>
        <v>950</v>
      </c>
      <c r="G65" s="8">
        <f>SUM(G66:G70)</f>
        <v>0</v>
      </c>
      <c r="H65" s="8">
        <f>SUM(H66:H70)</f>
        <v>0</v>
      </c>
      <c r="I65" s="8">
        <f>SUM(I66:I70)</f>
        <v>0</v>
      </c>
      <c r="J65" s="756" t="s">
        <v>37</v>
      </c>
      <c r="K65" s="756" t="s">
        <v>23</v>
      </c>
    </row>
    <row r="66" spans="1:11" s="2" customFormat="1" ht="18.75" customHeight="1">
      <c r="A66" s="753"/>
      <c r="B66" s="754"/>
      <c r="C66" s="755"/>
      <c r="D66" s="48">
        <v>2016</v>
      </c>
      <c r="E66" s="8">
        <f t="shared" si="6"/>
        <v>475</v>
      </c>
      <c r="F66" s="8">
        <v>475</v>
      </c>
      <c r="G66" s="9">
        <v>0</v>
      </c>
      <c r="H66" s="9">
        <v>0</v>
      </c>
      <c r="I66" s="9">
        <v>0</v>
      </c>
      <c r="J66" s="756"/>
      <c r="K66" s="756"/>
    </row>
    <row r="67" spans="1:11" s="2" customFormat="1" ht="18.75" customHeight="1">
      <c r="A67" s="753"/>
      <c r="B67" s="754"/>
      <c r="C67" s="755"/>
      <c r="D67" s="48">
        <v>2017</v>
      </c>
      <c r="E67" s="8">
        <f>SUM(F67:I67)</f>
        <v>475</v>
      </c>
      <c r="F67" s="8">
        <v>475</v>
      </c>
      <c r="G67" s="9">
        <v>0</v>
      </c>
      <c r="H67" s="9">
        <v>0</v>
      </c>
      <c r="I67" s="9">
        <v>0</v>
      </c>
      <c r="J67" s="756"/>
      <c r="K67" s="756"/>
    </row>
    <row r="68" spans="1:11" s="2" customFormat="1" ht="18.75" customHeight="1">
      <c r="A68" s="753"/>
      <c r="B68" s="754"/>
      <c r="C68" s="755"/>
      <c r="D68" s="48">
        <v>2018</v>
      </c>
      <c r="E68" s="8">
        <f t="shared" si="6"/>
        <v>0</v>
      </c>
      <c r="F68" s="8">
        <v>0</v>
      </c>
      <c r="G68" s="9">
        <v>0</v>
      </c>
      <c r="H68" s="9">
        <v>0</v>
      </c>
      <c r="I68" s="9">
        <v>0</v>
      </c>
      <c r="J68" s="756"/>
      <c r="K68" s="756"/>
    </row>
    <row r="69" spans="1:11" s="2" customFormat="1" ht="18.75" customHeight="1">
      <c r="A69" s="753"/>
      <c r="B69" s="754"/>
      <c r="C69" s="755"/>
      <c r="D69" s="48">
        <v>2019</v>
      </c>
      <c r="E69" s="8">
        <f t="shared" ref="E69:E87" si="8">SUM(F69:I69)</f>
        <v>0</v>
      </c>
      <c r="F69" s="8">
        <v>0</v>
      </c>
      <c r="G69" s="9">
        <v>0</v>
      </c>
      <c r="H69" s="9">
        <v>0</v>
      </c>
      <c r="I69" s="9">
        <v>0</v>
      </c>
      <c r="J69" s="756"/>
      <c r="K69" s="756"/>
    </row>
    <row r="70" spans="1:11" s="2" customFormat="1" ht="18.75" customHeight="1">
      <c r="A70" s="753"/>
      <c r="B70" s="754"/>
      <c r="C70" s="755"/>
      <c r="D70" s="48">
        <v>2020</v>
      </c>
      <c r="E70" s="8">
        <f>SUM(F70:I70)</f>
        <v>0</v>
      </c>
      <c r="F70" s="8">
        <v>0</v>
      </c>
      <c r="G70" s="9">
        <v>0</v>
      </c>
      <c r="H70" s="9">
        <v>0</v>
      </c>
      <c r="I70" s="9">
        <v>0</v>
      </c>
      <c r="J70" s="756"/>
      <c r="K70" s="756"/>
    </row>
    <row r="71" spans="1:11" s="2" customFormat="1" ht="15" customHeight="1">
      <c r="A71" s="753" t="s">
        <v>192</v>
      </c>
      <c r="B71" s="754" t="s">
        <v>38</v>
      </c>
      <c r="C71" s="755">
        <v>2016</v>
      </c>
      <c r="D71" s="48" t="s">
        <v>8</v>
      </c>
      <c r="E71" s="8">
        <f t="shared" si="8"/>
        <v>3740.7</v>
      </c>
      <c r="F71" s="8">
        <f>SUM(F72:F76)</f>
        <v>2781.2</v>
      </c>
      <c r="G71" s="8">
        <f>SUM(G72:G76)</f>
        <v>959.5</v>
      </c>
      <c r="H71" s="8">
        <f>SUM(H72:H76)</f>
        <v>0</v>
      </c>
      <c r="I71" s="8">
        <f>SUM(I72:I76)</f>
        <v>0</v>
      </c>
      <c r="J71" s="756" t="s">
        <v>193</v>
      </c>
      <c r="K71" s="757" t="s">
        <v>39</v>
      </c>
    </row>
    <row r="72" spans="1:11" s="2" customFormat="1" ht="15" customHeight="1">
      <c r="A72" s="753"/>
      <c r="B72" s="754"/>
      <c r="C72" s="755"/>
      <c r="D72" s="48">
        <v>2016</v>
      </c>
      <c r="E72" s="8">
        <f t="shared" si="8"/>
        <v>3740.7</v>
      </c>
      <c r="F72" s="8">
        <v>2781.2</v>
      </c>
      <c r="G72" s="9">
        <v>959.5</v>
      </c>
      <c r="H72" s="9">
        <v>0</v>
      </c>
      <c r="I72" s="9">
        <v>0</v>
      </c>
      <c r="J72" s="756"/>
      <c r="K72" s="757"/>
    </row>
    <row r="73" spans="1:11" s="2" customFormat="1" ht="15" customHeight="1">
      <c r="A73" s="753"/>
      <c r="B73" s="754"/>
      <c r="C73" s="755"/>
      <c r="D73" s="48">
        <v>2017</v>
      </c>
      <c r="E73" s="8">
        <f t="shared" si="8"/>
        <v>0</v>
      </c>
      <c r="F73" s="8">
        <v>0</v>
      </c>
      <c r="G73" s="9">
        <v>0</v>
      </c>
      <c r="H73" s="9">
        <v>0</v>
      </c>
      <c r="I73" s="9">
        <v>0</v>
      </c>
      <c r="J73" s="756"/>
      <c r="K73" s="757"/>
    </row>
    <row r="74" spans="1:11" s="2" customFormat="1" ht="15" customHeight="1">
      <c r="A74" s="753"/>
      <c r="B74" s="754"/>
      <c r="C74" s="755"/>
      <c r="D74" s="48">
        <v>2018</v>
      </c>
      <c r="E74" s="8">
        <f t="shared" si="8"/>
        <v>0</v>
      </c>
      <c r="F74" s="8">
        <v>0</v>
      </c>
      <c r="G74" s="9">
        <v>0</v>
      </c>
      <c r="H74" s="9">
        <v>0</v>
      </c>
      <c r="I74" s="9">
        <v>0</v>
      </c>
      <c r="J74" s="756"/>
      <c r="K74" s="757"/>
    </row>
    <row r="75" spans="1:11" s="2" customFormat="1" ht="15" customHeight="1">
      <c r="A75" s="753"/>
      <c r="B75" s="754"/>
      <c r="C75" s="755"/>
      <c r="D75" s="48">
        <v>2019</v>
      </c>
      <c r="E75" s="8">
        <f t="shared" si="8"/>
        <v>0</v>
      </c>
      <c r="F75" s="8">
        <v>0</v>
      </c>
      <c r="G75" s="9">
        <v>0</v>
      </c>
      <c r="H75" s="9">
        <v>0</v>
      </c>
      <c r="I75" s="9">
        <v>0</v>
      </c>
      <c r="J75" s="756"/>
      <c r="K75" s="757"/>
    </row>
    <row r="76" spans="1:11" s="2" customFormat="1" ht="15" customHeight="1">
      <c r="A76" s="753"/>
      <c r="B76" s="754"/>
      <c r="C76" s="755"/>
      <c r="D76" s="48">
        <v>2020</v>
      </c>
      <c r="E76" s="8">
        <f t="shared" si="8"/>
        <v>0</v>
      </c>
      <c r="F76" s="8">
        <v>0</v>
      </c>
      <c r="G76" s="9">
        <v>0</v>
      </c>
      <c r="H76" s="9">
        <v>0</v>
      </c>
      <c r="I76" s="9">
        <v>0</v>
      </c>
      <c r="J76" s="756"/>
      <c r="K76" s="757"/>
    </row>
    <row r="77" spans="1:11" s="2" customFormat="1" ht="18.75" customHeight="1">
      <c r="A77" s="753" t="s">
        <v>194</v>
      </c>
      <c r="B77" s="754" t="s">
        <v>22</v>
      </c>
      <c r="C77" s="755" t="s">
        <v>195</v>
      </c>
      <c r="D77" s="44" t="s">
        <v>8</v>
      </c>
      <c r="E77" s="8">
        <f t="shared" si="8"/>
        <v>36609.9</v>
      </c>
      <c r="F77" s="8">
        <f>SUM(F78:F82)</f>
        <v>36609.9</v>
      </c>
      <c r="G77" s="8">
        <f>SUM(G78:G82)</f>
        <v>0</v>
      </c>
      <c r="H77" s="8">
        <f>SUM(H78:H82)</f>
        <v>0</v>
      </c>
      <c r="I77" s="8">
        <f>SUM(I78:I82)</f>
        <v>0</v>
      </c>
      <c r="J77" s="756" t="s">
        <v>196</v>
      </c>
      <c r="K77" s="757" t="s">
        <v>23</v>
      </c>
    </row>
    <row r="78" spans="1:11" s="2" customFormat="1" ht="18.75" customHeight="1">
      <c r="A78" s="753"/>
      <c r="B78" s="754"/>
      <c r="C78" s="755"/>
      <c r="D78" s="44">
        <v>2016</v>
      </c>
      <c r="E78" s="8">
        <f t="shared" si="8"/>
        <v>0</v>
      </c>
      <c r="F78" s="8">
        <v>0</v>
      </c>
      <c r="G78" s="9">
        <v>0</v>
      </c>
      <c r="H78" s="9">
        <v>0</v>
      </c>
      <c r="I78" s="9">
        <v>0</v>
      </c>
      <c r="J78" s="756"/>
      <c r="K78" s="757"/>
    </row>
    <row r="79" spans="1:11" s="2" customFormat="1" ht="18.75" customHeight="1">
      <c r="A79" s="753"/>
      <c r="B79" s="754"/>
      <c r="C79" s="755"/>
      <c r="D79" s="44">
        <v>2017</v>
      </c>
      <c r="E79" s="8">
        <f t="shared" si="8"/>
        <v>1691.2</v>
      </c>
      <c r="F79" s="8">
        <v>1691.2</v>
      </c>
      <c r="G79" s="9">
        <v>0</v>
      </c>
      <c r="H79" s="9">
        <v>0</v>
      </c>
      <c r="I79" s="9">
        <v>0</v>
      </c>
      <c r="J79" s="756"/>
      <c r="K79" s="757"/>
    </row>
    <row r="80" spans="1:11" s="2" customFormat="1" ht="18.75" customHeight="1">
      <c r="A80" s="753"/>
      <c r="B80" s="754"/>
      <c r="C80" s="755"/>
      <c r="D80" s="44">
        <v>2018</v>
      </c>
      <c r="E80" s="8">
        <f t="shared" si="8"/>
        <v>11318.4</v>
      </c>
      <c r="F80" s="8">
        <v>11318.4</v>
      </c>
      <c r="G80" s="9">
        <v>0</v>
      </c>
      <c r="H80" s="9">
        <v>0</v>
      </c>
      <c r="I80" s="9">
        <v>0</v>
      </c>
      <c r="J80" s="756"/>
      <c r="K80" s="757"/>
    </row>
    <row r="81" spans="1:11" s="2" customFormat="1" ht="18.75" customHeight="1">
      <c r="A81" s="753"/>
      <c r="B81" s="754"/>
      <c r="C81" s="755"/>
      <c r="D81" s="44">
        <v>2019</v>
      </c>
      <c r="E81" s="8">
        <f t="shared" si="8"/>
        <v>11635.7</v>
      </c>
      <c r="F81" s="8">
        <v>11635.7</v>
      </c>
      <c r="G81" s="9">
        <v>0</v>
      </c>
      <c r="H81" s="9">
        <v>0</v>
      </c>
      <c r="I81" s="9">
        <v>0</v>
      </c>
      <c r="J81" s="756"/>
      <c r="K81" s="757"/>
    </row>
    <row r="82" spans="1:11" s="2" customFormat="1" ht="18.75" customHeight="1">
      <c r="A82" s="753"/>
      <c r="B82" s="754"/>
      <c r="C82" s="755"/>
      <c r="D82" s="44">
        <v>2020</v>
      </c>
      <c r="E82" s="8">
        <f t="shared" si="8"/>
        <v>11964.6</v>
      </c>
      <c r="F82" s="8">
        <v>11964.6</v>
      </c>
      <c r="G82" s="9">
        <v>0</v>
      </c>
      <c r="H82" s="9">
        <v>0</v>
      </c>
      <c r="I82" s="9">
        <v>0</v>
      </c>
      <c r="J82" s="756"/>
      <c r="K82" s="757"/>
    </row>
    <row r="83" spans="1:11" s="2" customFormat="1" ht="15" customHeight="1">
      <c r="A83" s="753" t="s">
        <v>40</v>
      </c>
      <c r="B83" s="756" t="s">
        <v>41</v>
      </c>
      <c r="C83" s="755" t="s">
        <v>14</v>
      </c>
      <c r="D83" s="48" t="s">
        <v>8</v>
      </c>
      <c r="E83" s="8">
        <f t="shared" si="8"/>
        <v>2406717.8000000003</v>
      </c>
      <c r="F83" s="8">
        <f>SUM(F84:F88)</f>
        <v>2382088.3000000003</v>
      </c>
      <c r="G83" s="8">
        <f>SUM(G84:G88)</f>
        <v>24629.5</v>
      </c>
      <c r="H83" s="8">
        <f>SUM(H84:H88)</f>
        <v>0</v>
      </c>
      <c r="I83" s="8">
        <f>SUM(I84:I88)</f>
        <v>0</v>
      </c>
      <c r="J83" s="756"/>
      <c r="K83" s="757" t="s">
        <v>42</v>
      </c>
    </row>
    <row r="84" spans="1:11" s="2" customFormat="1">
      <c r="A84" s="753"/>
      <c r="B84" s="756"/>
      <c r="C84" s="755"/>
      <c r="D84" s="48">
        <v>2016</v>
      </c>
      <c r="E84" s="8">
        <f t="shared" si="8"/>
        <v>385423.4</v>
      </c>
      <c r="F84" s="8">
        <f t="shared" ref="F84:I88" si="9">F90+F150+F180</f>
        <v>379215.5</v>
      </c>
      <c r="G84" s="8">
        <f t="shared" si="9"/>
        <v>6207.9</v>
      </c>
      <c r="H84" s="8">
        <f t="shared" si="9"/>
        <v>0</v>
      </c>
      <c r="I84" s="8">
        <f t="shared" si="9"/>
        <v>0</v>
      </c>
      <c r="J84" s="756"/>
      <c r="K84" s="757"/>
    </row>
    <row r="85" spans="1:11">
      <c r="A85" s="753"/>
      <c r="B85" s="756"/>
      <c r="C85" s="755"/>
      <c r="D85" s="48">
        <v>2017</v>
      </c>
      <c r="E85" s="8">
        <f t="shared" si="8"/>
        <v>456261.4</v>
      </c>
      <c r="F85" s="8">
        <f t="shared" si="9"/>
        <v>448205.9</v>
      </c>
      <c r="G85" s="8">
        <f t="shared" si="9"/>
        <v>8055.5</v>
      </c>
      <c r="H85" s="8">
        <f t="shared" si="9"/>
        <v>0</v>
      </c>
      <c r="I85" s="8">
        <f t="shared" si="9"/>
        <v>0</v>
      </c>
      <c r="J85" s="756"/>
      <c r="K85" s="757"/>
    </row>
    <row r="86" spans="1:11">
      <c r="A86" s="753"/>
      <c r="B86" s="756"/>
      <c r="C86" s="755"/>
      <c r="D86" s="48">
        <v>2018</v>
      </c>
      <c r="E86" s="8">
        <f t="shared" si="8"/>
        <v>518540.4</v>
      </c>
      <c r="F86" s="8">
        <f t="shared" si="9"/>
        <v>508174.30000000005</v>
      </c>
      <c r="G86" s="8">
        <f t="shared" si="9"/>
        <v>10366.1</v>
      </c>
      <c r="H86" s="8">
        <f t="shared" si="9"/>
        <v>0</v>
      </c>
      <c r="I86" s="8">
        <f t="shared" si="9"/>
        <v>0</v>
      </c>
      <c r="J86" s="756"/>
      <c r="K86" s="757"/>
    </row>
    <row r="87" spans="1:11">
      <c r="A87" s="753"/>
      <c r="B87" s="756"/>
      <c r="C87" s="755"/>
      <c r="D87" s="48">
        <v>2019</v>
      </c>
      <c r="E87" s="8">
        <f t="shared" si="8"/>
        <v>517623.30000000005</v>
      </c>
      <c r="F87" s="8">
        <f t="shared" si="9"/>
        <v>517623.30000000005</v>
      </c>
      <c r="G87" s="8">
        <f t="shared" si="9"/>
        <v>0</v>
      </c>
      <c r="H87" s="8">
        <f t="shared" si="9"/>
        <v>0</v>
      </c>
      <c r="I87" s="8">
        <f t="shared" si="9"/>
        <v>0</v>
      </c>
      <c r="J87" s="756"/>
      <c r="K87" s="757"/>
    </row>
    <row r="88" spans="1:11">
      <c r="A88" s="753"/>
      <c r="B88" s="756"/>
      <c r="C88" s="755"/>
      <c r="D88" s="48">
        <v>2020</v>
      </c>
      <c r="E88" s="8">
        <f>SUM(F88:I88)</f>
        <v>528869.30000000005</v>
      </c>
      <c r="F88" s="8">
        <f t="shared" si="9"/>
        <v>528869.30000000005</v>
      </c>
      <c r="G88" s="8">
        <f t="shared" si="9"/>
        <v>0</v>
      </c>
      <c r="H88" s="8">
        <f t="shared" si="9"/>
        <v>0</v>
      </c>
      <c r="I88" s="8">
        <f t="shared" si="9"/>
        <v>0</v>
      </c>
      <c r="J88" s="756"/>
      <c r="K88" s="757"/>
    </row>
    <row r="89" spans="1:11" ht="13.5" customHeight="1">
      <c r="A89" s="753" t="s">
        <v>175</v>
      </c>
      <c r="B89" s="754" t="s">
        <v>44</v>
      </c>
      <c r="C89" s="755" t="s">
        <v>14</v>
      </c>
      <c r="D89" s="48" t="s">
        <v>8</v>
      </c>
      <c r="E89" s="8">
        <f>F89+G89+H89+I89</f>
        <v>516411.60000000003</v>
      </c>
      <c r="F89" s="8">
        <f>SUM(F90:F94)</f>
        <v>516411.60000000003</v>
      </c>
      <c r="G89" s="8">
        <f>SUM(G90:G94)</f>
        <v>0</v>
      </c>
      <c r="H89" s="8">
        <f>SUM(H90:H94)</f>
        <v>0</v>
      </c>
      <c r="I89" s="8">
        <f>SUM(I90:I94)</f>
        <v>0</v>
      </c>
      <c r="J89" s="756" t="s">
        <v>45</v>
      </c>
      <c r="K89" s="757" t="s">
        <v>18</v>
      </c>
    </row>
    <row r="90" spans="1:11" ht="13.5" customHeight="1">
      <c r="A90" s="753"/>
      <c r="B90" s="754"/>
      <c r="C90" s="755"/>
      <c r="D90" s="48">
        <v>2016</v>
      </c>
      <c r="E90" s="8">
        <f t="shared" ref="E90:I94" si="10">SUM(E96+E102,E108,E114,E120,E126,E132,E138,E144)</f>
        <v>86400.5</v>
      </c>
      <c r="F90" s="8">
        <f t="shared" si="10"/>
        <v>86400.5</v>
      </c>
      <c r="G90" s="8">
        <f t="shared" si="10"/>
        <v>0</v>
      </c>
      <c r="H90" s="8">
        <f t="shared" si="10"/>
        <v>0</v>
      </c>
      <c r="I90" s="8">
        <f t="shared" si="10"/>
        <v>0</v>
      </c>
      <c r="J90" s="756"/>
      <c r="K90" s="757"/>
    </row>
    <row r="91" spans="1:11" ht="13.5" customHeight="1">
      <c r="A91" s="753"/>
      <c r="B91" s="754"/>
      <c r="C91" s="755"/>
      <c r="D91" s="48">
        <v>2017</v>
      </c>
      <c r="E91" s="8">
        <f t="shared" si="10"/>
        <v>84336.700000000012</v>
      </c>
      <c r="F91" s="8">
        <f t="shared" si="10"/>
        <v>84336.700000000012</v>
      </c>
      <c r="G91" s="8">
        <f t="shared" si="10"/>
        <v>0</v>
      </c>
      <c r="H91" s="8">
        <f t="shared" si="10"/>
        <v>0</v>
      </c>
      <c r="I91" s="8">
        <f t="shared" si="10"/>
        <v>0</v>
      </c>
      <c r="J91" s="756"/>
      <c r="K91" s="757"/>
    </row>
    <row r="92" spans="1:11" ht="13.5" customHeight="1">
      <c r="A92" s="753"/>
      <c r="B92" s="754"/>
      <c r="C92" s="755"/>
      <c r="D92" s="48">
        <v>2018</v>
      </c>
      <c r="E92" s="8">
        <f t="shared" si="10"/>
        <v>120731.80000000002</v>
      </c>
      <c r="F92" s="8">
        <f t="shared" si="10"/>
        <v>120731.80000000002</v>
      </c>
      <c r="G92" s="8">
        <f t="shared" si="10"/>
        <v>0</v>
      </c>
      <c r="H92" s="8">
        <f t="shared" si="10"/>
        <v>0</v>
      </c>
      <c r="I92" s="8">
        <f t="shared" si="10"/>
        <v>0</v>
      </c>
      <c r="J92" s="756"/>
      <c r="K92" s="757"/>
    </row>
    <row r="93" spans="1:11" ht="13.5" customHeight="1">
      <c r="A93" s="753"/>
      <c r="B93" s="754"/>
      <c r="C93" s="755"/>
      <c r="D93" s="48">
        <v>2019</v>
      </c>
      <c r="E93" s="8">
        <f t="shared" si="10"/>
        <v>111993.60000000002</v>
      </c>
      <c r="F93" s="8">
        <f t="shared" si="10"/>
        <v>111993.60000000002</v>
      </c>
      <c r="G93" s="8">
        <f t="shared" si="10"/>
        <v>0</v>
      </c>
      <c r="H93" s="8">
        <f t="shared" si="10"/>
        <v>0</v>
      </c>
      <c r="I93" s="8">
        <f t="shared" si="10"/>
        <v>0</v>
      </c>
      <c r="J93" s="756"/>
      <c r="K93" s="757"/>
    </row>
    <row r="94" spans="1:11" ht="13.5" customHeight="1">
      <c r="A94" s="753"/>
      <c r="B94" s="754"/>
      <c r="C94" s="755"/>
      <c r="D94" s="48">
        <v>2020</v>
      </c>
      <c r="E94" s="8">
        <f t="shared" si="10"/>
        <v>112949.00000000001</v>
      </c>
      <c r="F94" s="8">
        <f>SUM(F100+F106,F112,F118,F124,F130,F136,F142,F148)</f>
        <v>112949.00000000001</v>
      </c>
      <c r="G94" s="8">
        <f t="shared" si="10"/>
        <v>0</v>
      </c>
      <c r="H94" s="8">
        <f t="shared" si="10"/>
        <v>0</v>
      </c>
      <c r="I94" s="8">
        <f t="shared" si="10"/>
        <v>0</v>
      </c>
      <c r="J94" s="756"/>
      <c r="K94" s="757"/>
    </row>
    <row r="95" spans="1:11" s="2" customFormat="1" ht="24.95" customHeight="1">
      <c r="A95" s="762" t="s">
        <v>43</v>
      </c>
      <c r="B95" s="760" t="s">
        <v>22</v>
      </c>
      <c r="C95" s="755" t="s">
        <v>14</v>
      </c>
      <c r="D95" s="44" t="s">
        <v>8</v>
      </c>
      <c r="E95" s="8">
        <f t="shared" ref="E95:E105" si="11">SUM(F95:I95)</f>
        <v>322355.7</v>
      </c>
      <c r="F95" s="8">
        <f>SUM(F96:F100)</f>
        <v>322355.7</v>
      </c>
      <c r="G95" s="8">
        <f>SUM(G96:G100)</f>
        <v>0</v>
      </c>
      <c r="H95" s="8">
        <f>SUM(H96:H100)</f>
        <v>0</v>
      </c>
      <c r="I95" s="8">
        <f>SUM(I96:I100)</f>
        <v>0</v>
      </c>
      <c r="J95" s="756" t="s">
        <v>46</v>
      </c>
      <c r="K95" s="764" t="s">
        <v>47</v>
      </c>
    </row>
    <row r="96" spans="1:11" s="2" customFormat="1" ht="24.95" customHeight="1">
      <c r="A96" s="762"/>
      <c r="B96" s="760"/>
      <c r="C96" s="755"/>
      <c r="D96" s="44">
        <v>2016</v>
      </c>
      <c r="E96" s="8">
        <f t="shared" si="11"/>
        <v>50941.599999999999</v>
      </c>
      <c r="F96" s="9">
        <v>50941.599999999999</v>
      </c>
      <c r="G96" s="9">
        <f>[10]План!G128+[10]План!G136+[10]План!G176</f>
        <v>0</v>
      </c>
      <c r="H96" s="9">
        <f>[10]План!H128+[10]План!H136+[10]План!H176</f>
        <v>0</v>
      </c>
      <c r="I96" s="9">
        <f>[10]План!I128+[10]План!I136+[10]План!I176</f>
        <v>0</v>
      </c>
      <c r="J96" s="756"/>
      <c r="K96" s="764"/>
    </row>
    <row r="97" spans="1:11" s="2" customFormat="1" ht="24.95" customHeight="1">
      <c r="A97" s="762"/>
      <c r="B97" s="760"/>
      <c r="C97" s="755"/>
      <c r="D97" s="44">
        <v>2017</v>
      </c>
      <c r="E97" s="8">
        <f t="shared" si="11"/>
        <v>48074.7</v>
      </c>
      <c r="F97" s="9">
        <v>48074.7</v>
      </c>
      <c r="G97" s="9">
        <f>[10]План!G129+[10]План!G137+[10]План!G177</f>
        <v>0</v>
      </c>
      <c r="H97" s="9">
        <f>[10]План!H129+[10]План!H137+[10]План!H177</f>
        <v>0</v>
      </c>
      <c r="I97" s="9">
        <f>[10]План!I129+[10]План!I137+[10]План!I177</f>
        <v>0</v>
      </c>
      <c r="J97" s="756"/>
      <c r="K97" s="764"/>
    </row>
    <row r="98" spans="1:11" s="2" customFormat="1" ht="24.95" customHeight="1">
      <c r="A98" s="762"/>
      <c r="B98" s="760"/>
      <c r="C98" s="755"/>
      <c r="D98" s="44">
        <v>2018</v>
      </c>
      <c r="E98" s="8">
        <f t="shared" si="11"/>
        <v>73513.399999999994</v>
      </c>
      <c r="F98" s="9">
        <v>73513.399999999994</v>
      </c>
      <c r="G98" s="9">
        <f>[10]План!G130+[10]План!G138+[10]План!G178</f>
        <v>0</v>
      </c>
      <c r="H98" s="9">
        <f>[10]План!H130+[10]План!H138+[10]План!H178</f>
        <v>0</v>
      </c>
      <c r="I98" s="9">
        <f>[10]План!I130+[10]План!I138+[10]План!I178</f>
        <v>0</v>
      </c>
      <c r="J98" s="756"/>
      <c r="K98" s="764"/>
    </row>
    <row r="99" spans="1:11" s="2" customFormat="1" ht="24.95" customHeight="1">
      <c r="A99" s="762"/>
      <c r="B99" s="760"/>
      <c r="C99" s="755"/>
      <c r="D99" s="44">
        <v>2019</v>
      </c>
      <c r="E99" s="8">
        <f t="shared" si="11"/>
        <v>74435.3</v>
      </c>
      <c r="F99" s="9">
        <v>74435.3</v>
      </c>
      <c r="G99" s="9">
        <f>[10]План!G131+[10]План!G139+[10]План!G179</f>
        <v>0</v>
      </c>
      <c r="H99" s="9">
        <f>[10]План!H131+[10]План!H139+[10]План!H179</f>
        <v>0</v>
      </c>
      <c r="I99" s="9">
        <f>[10]План!I131+[10]План!I139+[10]План!I179</f>
        <v>0</v>
      </c>
      <c r="J99" s="756"/>
      <c r="K99" s="764"/>
    </row>
    <row r="100" spans="1:11" s="2" customFormat="1" ht="24.95" customHeight="1">
      <c r="A100" s="762"/>
      <c r="B100" s="760"/>
      <c r="C100" s="755"/>
      <c r="D100" s="44">
        <v>2020</v>
      </c>
      <c r="E100" s="8">
        <f>SUM(F100:I100)</f>
        <v>75390.7</v>
      </c>
      <c r="F100" s="9">
        <v>75390.7</v>
      </c>
      <c r="G100" s="9">
        <f>[10]План!G132+[10]План!G140+[10]План!G180</f>
        <v>0</v>
      </c>
      <c r="H100" s="9">
        <f>[10]План!H132+[10]План!H140+[10]План!H180</f>
        <v>0</v>
      </c>
      <c r="I100" s="9">
        <f>[10]План!I132+[10]План!I140+[10]План!I180</f>
        <v>0</v>
      </c>
      <c r="J100" s="756"/>
      <c r="K100" s="764"/>
    </row>
    <row r="101" spans="1:11" s="2" customFormat="1" ht="15" customHeight="1">
      <c r="A101" s="753" t="s">
        <v>197</v>
      </c>
      <c r="B101" s="754" t="s">
        <v>48</v>
      </c>
      <c r="C101" s="755" t="s">
        <v>14</v>
      </c>
      <c r="D101" s="44" t="s">
        <v>8</v>
      </c>
      <c r="E101" s="8">
        <f t="shared" si="11"/>
        <v>67298.399999999994</v>
      </c>
      <c r="F101" s="8">
        <f>SUM(F102:F106)</f>
        <v>67298.399999999994</v>
      </c>
      <c r="G101" s="8">
        <f>SUM(G102:G106)</f>
        <v>0</v>
      </c>
      <c r="H101" s="8">
        <f>SUM(H102:H106)</f>
        <v>0</v>
      </c>
      <c r="I101" s="8">
        <f>SUM(I102:I106)</f>
        <v>0</v>
      </c>
      <c r="J101" s="756" t="s">
        <v>49</v>
      </c>
      <c r="K101" s="757" t="s">
        <v>23</v>
      </c>
    </row>
    <row r="102" spans="1:11" s="2" customFormat="1">
      <c r="A102" s="753"/>
      <c r="B102" s="754"/>
      <c r="C102" s="755"/>
      <c r="D102" s="44">
        <v>2016</v>
      </c>
      <c r="E102" s="8">
        <f t="shared" si="11"/>
        <v>12699.3</v>
      </c>
      <c r="F102" s="8">
        <v>12699.3</v>
      </c>
      <c r="G102" s="9">
        <v>0</v>
      </c>
      <c r="H102" s="9">
        <v>0</v>
      </c>
      <c r="I102" s="9">
        <v>0</v>
      </c>
      <c r="J102" s="756"/>
      <c r="K102" s="757"/>
    </row>
    <row r="103" spans="1:11" s="2" customFormat="1">
      <c r="A103" s="753"/>
      <c r="B103" s="754"/>
      <c r="C103" s="755"/>
      <c r="D103" s="44">
        <v>2017</v>
      </c>
      <c r="E103" s="8">
        <f t="shared" si="11"/>
        <v>12699.3</v>
      </c>
      <c r="F103" s="8">
        <v>12699.3</v>
      </c>
      <c r="G103" s="9">
        <v>0</v>
      </c>
      <c r="H103" s="9">
        <v>0</v>
      </c>
      <c r="I103" s="9">
        <v>0</v>
      </c>
      <c r="J103" s="756"/>
      <c r="K103" s="757"/>
    </row>
    <row r="104" spans="1:11" s="2" customFormat="1">
      <c r="A104" s="753"/>
      <c r="B104" s="754"/>
      <c r="C104" s="755"/>
      <c r="D104" s="44">
        <v>2018</v>
      </c>
      <c r="E104" s="8">
        <f t="shared" si="11"/>
        <v>13966.6</v>
      </c>
      <c r="F104" s="8">
        <v>13966.6</v>
      </c>
      <c r="G104" s="9">
        <v>0</v>
      </c>
      <c r="H104" s="9">
        <v>0</v>
      </c>
      <c r="I104" s="9">
        <v>0</v>
      </c>
      <c r="J104" s="756"/>
      <c r="K104" s="757"/>
    </row>
    <row r="105" spans="1:11" s="2" customFormat="1">
      <c r="A105" s="753"/>
      <c r="B105" s="754"/>
      <c r="C105" s="755"/>
      <c r="D105" s="44">
        <v>2019</v>
      </c>
      <c r="E105" s="8">
        <f t="shared" si="11"/>
        <v>13966.6</v>
      </c>
      <c r="F105" s="8">
        <v>13966.6</v>
      </c>
      <c r="G105" s="9">
        <v>0</v>
      </c>
      <c r="H105" s="9">
        <v>0</v>
      </c>
      <c r="I105" s="9">
        <v>0</v>
      </c>
      <c r="J105" s="756"/>
      <c r="K105" s="757"/>
    </row>
    <row r="106" spans="1:11" s="2" customFormat="1">
      <c r="A106" s="753"/>
      <c r="B106" s="754"/>
      <c r="C106" s="755"/>
      <c r="D106" s="44">
        <v>2020</v>
      </c>
      <c r="E106" s="8">
        <f>SUM(F106:I106)</f>
        <v>13966.6</v>
      </c>
      <c r="F106" s="8">
        <v>13966.6</v>
      </c>
      <c r="G106" s="9">
        <v>0</v>
      </c>
      <c r="H106" s="9">
        <v>0</v>
      </c>
      <c r="I106" s="9">
        <v>0</v>
      </c>
      <c r="J106" s="756"/>
      <c r="K106" s="757"/>
    </row>
    <row r="107" spans="1:11" s="2" customFormat="1" ht="13.5" customHeight="1">
      <c r="A107" s="753" t="s">
        <v>198</v>
      </c>
      <c r="B107" s="760" t="s">
        <v>50</v>
      </c>
      <c r="C107" s="755" t="s">
        <v>14</v>
      </c>
      <c r="D107" s="48" t="s">
        <v>8</v>
      </c>
      <c r="E107" s="8">
        <f t="shared" ref="E107:E141" si="12">SUM(F107:I107)</f>
        <v>2665.5</v>
      </c>
      <c r="F107" s="8">
        <f>SUM(F108:F112)</f>
        <v>2665.5</v>
      </c>
      <c r="G107" s="8">
        <f>SUM(G108:G112)</f>
        <v>0</v>
      </c>
      <c r="H107" s="8">
        <f>SUM(H108:H112)</f>
        <v>0</v>
      </c>
      <c r="I107" s="8">
        <f>SUM(I108:I112)</f>
        <v>0</v>
      </c>
      <c r="J107" s="756" t="s">
        <v>51</v>
      </c>
      <c r="K107" s="757" t="s">
        <v>26</v>
      </c>
    </row>
    <row r="108" spans="1:11" s="2" customFormat="1" ht="13.5" customHeight="1">
      <c r="A108" s="753"/>
      <c r="B108" s="760"/>
      <c r="C108" s="755"/>
      <c r="D108" s="48">
        <v>2016</v>
      </c>
      <c r="E108" s="8">
        <f t="shared" si="12"/>
        <v>533.1</v>
      </c>
      <c r="F108" s="9">
        <v>533.1</v>
      </c>
      <c r="G108" s="9">
        <v>0</v>
      </c>
      <c r="H108" s="9">
        <v>0</v>
      </c>
      <c r="I108" s="9">
        <v>0</v>
      </c>
      <c r="J108" s="756"/>
      <c r="K108" s="757"/>
    </row>
    <row r="109" spans="1:11" s="2" customFormat="1" ht="13.5" customHeight="1">
      <c r="A109" s="753"/>
      <c r="B109" s="760"/>
      <c r="C109" s="755"/>
      <c r="D109" s="48">
        <v>2017</v>
      </c>
      <c r="E109" s="8">
        <f>SUM(F109:I109)</f>
        <v>533.1</v>
      </c>
      <c r="F109" s="9">
        <v>533.1</v>
      </c>
      <c r="G109" s="9">
        <v>0</v>
      </c>
      <c r="H109" s="9">
        <v>0</v>
      </c>
      <c r="I109" s="9">
        <v>0</v>
      </c>
      <c r="J109" s="756"/>
      <c r="K109" s="757"/>
    </row>
    <row r="110" spans="1:11" s="2" customFormat="1" ht="13.5" customHeight="1">
      <c r="A110" s="753"/>
      <c r="B110" s="760"/>
      <c r="C110" s="755"/>
      <c r="D110" s="48">
        <v>2018</v>
      </c>
      <c r="E110" s="8">
        <f t="shared" si="12"/>
        <v>533.1</v>
      </c>
      <c r="F110" s="9">
        <v>533.1</v>
      </c>
      <c r="G110" s="9">
        <v>0</v>
      </c>
      <c r="H110" s="9">
        <v>0</v>
      </c>
      <c r="I110" s="9">
        <v>0</v>
      </c>
      <c r="J110" s="756"/>
      <c r="K110" s="757"/>
    </row>
    <row r="111" spans="1:11" s="2" customFormat="1" ht="13.5" customHeight="1">
      <c r="A111" s="753"/>
      <c r="B111" s="760"/>
      <c r="C111" s="755"/>
      <c r="D111" s="48">
        <v>2019</v>
      </c>
      <c r="E111" s="8">
        <f>SUM(F111:I111)</f>
        <v>533.1</v>
      </c>
      <c r="F111" s="9">
        <v>533.1</v>
      </c>
      <c r="G111" s="9">
        <v>0</v>
      </c>
      <c r="H111" s="9">
        <v>0</v>
      </c>
      <c r="I111" s="9">
        <v>0</v>
      </c>
      <c r="J111" s="756"/>
      <c r="K111" s="757"/>
    </row>
    <row r="112" spans="1:11" s="2" customFormat="1" ht="13.5" customHeight="1">
      <c r="A112" s="753"/>
      <c r="B112" s="760"/>
      <c r="C112" s="755"/>
      <c r="D112" s="48">
        <v>2020</v>
      </c>
      <c r="E112" s="8">
        <f>SUM(F112:I112)</f>
        <v>533.1</v>
      </c>
      <c r="F112" s="9">
        <v>533.1</v>
      </c>
      <c r="G112" s="9">
        <v>0</v>
      </c>
      <c r="H112" s="9">
        <v>0</v>
      </c>
      <c r="I112" s="9">
        <v>0</v>
      </c>
      <c r="J112" s="756"/>
      <c r="K112" s="757"/>
    </row>
    <row r="113" spans="1:11" s="2" customFormat="1" ht="15" customHeight="1">
      <c r="A113" s="753" t="s">
        <v>199</v>
      </c>
      <c r="B113" s="760" t="s">
        <v>52</v>
      </c>
      <c r="C113" s="755" t="s">
        <v>14</v>
      </c>
      <c r="D113" s="48" t="s">
        <v>8</v>
      </c>
      <c r="E113" s="8">
        <f t="shared" si="12"/>
        <v>150</v>
      </c>
      <c r="F113" s="8">
        <f>SUM(F114:F118)</f>
        <v>150</v>
      </c>
      <c r="G113" s="8">
        <f>SUM(G114:G118)</f>
        <v>0</v>
      </c>
      <c r="H113" s="8">
        <f>SUM(H114:H118)</f>
        <v>0</v>
      </c>
      <c r="I113" s="8">
        <f>SUM(I114:I118)</f>
        <v>0</v>
      </c>
      <c r="J113" s="756" t="s">
        <v>53</v>
      </c>
      <c r="K113" s="757" t="s">
        <v>26</v>
      </c>
    </row>
    <row r="114" spans="1:11" s="2" customFormat="1">
      <c r="A114" s="753"/>
      <c r="B114" s="760"/>
      <c r="C114" s="755"/>
      <c r="D114" s="48">
        <v>2016</v>
      </c>
      <c r="E114" s="8">
        <f t="shared" si="12"/>
        <v>30</v>
      </c>
      <c r="F114" s="8">
        <v>30</v>
      </c>
      <c r="G114" s="9">
        <v>0</v>
      </c>
      <c r="H114" s="9">
        <v>0</v>
      </c>
      <c r="I114" s="9">
        <v>0</v>
      </c>
      <c r="J114" s="756"/>
      <c r="K114" s="757"/>
    </row>
    <row r="115" spans="1:11" s="2" customFormat="1">
      <c r="A115" s="753"/>
      <c r="B115" s="760"/>
      <c r="C115" s="755"/>
      <c r="D115" s="48">
        <v>2017</v>
      </c>
      <c r="E115" s="8">
        <f>SUM(F115:I115)</f>
        <v>30</v>
      </c>
      <c r="F115" s="8">
        <v>30</v>
      </c>
      <c r="G115" s="9">
        <v>0</v>
      </c>
      <c r="H115" s="9">
        <v>0</v>
      </c>
      <c r="I115" s="9">
        <v>0</v>
      </c>
      <c r="J115" s="756"/>
      <c r="K115" s="757"/>
    </row>
    <row r="116" spans="1:11" s="2" customFormat="1">
      <c r="A116" s="753"/>
      <c r="B116" s="760"/>
      <c r="C116" s="755"/>
      <c r="D116" s="48">
        <v>2018</v>
      </c>
      <c r="E116" s="8">
        <f t="shared" si="12"/>
        <v>30</v>
      </c>
      <c r="F116" s="8">
        <v>30</v>
      </c>
      <c r="G116" s="9">
        <v>0</v>
      </c>
      <c r="H116" s="9">
        <v>0</v>
      </c>
      <c r="I116" s="9">
        <v>0</v>
      </c>
      <c r="J116" s="756"/>
      <c r="K116" s="757"/>
    </row>
    <row r="117" spans="1:11" s="2" customFormat="1">
      <c r="A117" s="753"/>
      <c r="B117" s="760"/>
      <c r="C117" s="755"/>
      <c r="D117" s="48">
        <v>2019</v>
      </c>
      <c r="E117" s="8">
        <f>SUM(F117:I117)</f>
        <v>30</v>
      </c>
      <c r="F117" s="8">
        <v>30</v>
      </c>
      <c r="G117" s="9">
        <v>0</v>
      </c>
      <c r="H117" s="9">
        <v>0</v>
      </c>
      <c r="I117" s="9">
        <v>0</v>
      </c>
      <c r="J117" s="756"/>
      <c r="K117" s="757"/>
    </row>
    <row r="118" spans="1:11" s="2" customFormat="1">
      <c r="A118" s="753"/>
      <c r="B118" s="760"/>
      <c r="C118" s="755"/>
      <c r="D118" s="48">
        <v>2020</v>
      </c>
      <c r="E118" s="8">
        <f>SUM(F118:I118)</f>
        <v>30</v>
      </c>
      <c r="F118" s="8">
        <v>30</v>
      </c>
      <c r="G118" s="9">
        <v>0</v>
      </c>
      <c r="H118" s="9">
        <v>0</v>
      </c>
      <c r="I118" s="9">
        <v>0</v>
      </c>
      <c r="J118" s="756"/>
      <c r="K118" s="757"/>
    </row>
    <row r="119" spans="1:11" s="2" customFormat="1" ht="15" customHeight="1">
      <c r="A119" s="753" t="s">
        <v>200</v>
      </c>
      <c r="B119" s="754" t="s">
        <v>54</v>
      </c>
      <c r="C119" s="755">
        <v>2016</v>
      </c>
      <c r="D119" s="48" t="s">
        <v>8</v>
      </c>
      <c r="E119" s="8">
        <f t="shared" si="12"/>
        <v>200</v>
      </c>
      <c r="F119" s="8">
        <f>SUM(F120:F124)</f>
        <v>200</v>
      </c>
      <c r="G119" s="8">
        <f>SUM(G120:G124)</f>
        <v>0</v>
      </c>
      <c r="H119" s="8">
        <f>SUM(H120:H124)</f>
        <v>0</v>
      </c>
      <c r="I119" s="8">
        <f>SUM(I120:I124)</f>
        <v>0</v>
      </c>
      <c r="J119" s="756" t="s">
        <v>201</v>
      </c>
      <c r="K119" s="757" t="s">
        <v>26</v>
      </c>
    </row>
    <row r="120" spans="1:11" s="2" customFormat="1">
      <c r="A120" s="753"/>
      <c r="B120" s="754"/>
      <c r="C120" s="755"/>
      <c r="D120" s="48">
        <v>2016</v>
      </c>
      <c r="E120" s="8">
        <f t="shared" si="12"/>
        <v>200</v>
      </c>
      <c r="F120" s="8">
        <v>200</v>
      </c>
      <c r="G120" s="9">
        <v>0</v>
      </c>
      <c r="H120" s="9">
        <v>0</v>
      </c>
      <c r="I120" s="9">
        <v>0</v>
      </c>
      <c r="J120" s="756"/>
      <c r="K120" s="757"/>
    </row>
    <row r="121" spans="1:11" s="2" customFormat="1">
      <c r="A121" s="753"/>
      <c r="B121" s="754"/>
      <c r="C121" s="755"/>
      <c r="D121" s="48">
        <v>2017</v>
      </c>
      <c r="E121" s="8">
        <f>SUM(F121:I121)</f>
        <v>0</v>
      </c>
      <c r="F121" s="8">
        <v>0</v>
      </c>
      <c r="G121" s="9">
        <v>0</v>
      </c>
      <c r="H121" s="9">
        <v>0</v>
      </c>
      <c r="I121" s="9">
        <v>0</v>
      </c>
      <c r="J121" s="756"/>
      <c r="K121" s="757"/>
    </row>
    <row r="122" spans="1:11" s="2" customFormat="1">
      <c r="A122" s="753"/>
      <c r="B122" s="754"/>
      <c r="C122" s="755"/>
      <c r="D122" s="48">
        <v>2018</v>
      </c>
      <c r="E122" s="8">
        <f t="shared" si="12"/>
        <v>0</v>
      </c>
      <c r="F122" s="8">
        <v>0</v>
      </c>
      <c r="G122" s="9">
        <v>0</v>
      </c>
      <c r="H122" s="9">
        <v>0</v>
      </c>
      <c r="I122" s="9">
        <v>0</v>
      </c>
      <c r="J122" s="756"/>
      <c r="K122" s="757"/>
    </row>
    <row r="123" spans="1:11" s="2" customFormat="1">
      <c r="A123" s="753"/>
      <c r="B123" s="754"/>
      <c r="C123" s="755"/>
      <c r="D123" s="48">
        <v>2019</v>
      </c>
      <c r="E123" s="8">
        <f>SUM(F123:I123)</f>
        <v>0</v>
      </c>
      <c r="F123" s="8">
        <v>0</v>
      </c>
      <c r="G123" s="9">
        <v>0</v>
      </c>
      <c r="H123" s="9">
        <v>0</v>
      </c>
      <c r="I123" s="9">
        <v>0</v>
      </c>
      <c r="J123" s="756"/>
      <c r="K123" s="757"/>
    </row>
    <row r="124" spans="1:11" s="2" customFormat="1">
      <c r="A124" s="753"/>
      <c r="B124" s="754"/>
      <c r="C124" s="755"/>
      <c r="D124" s="48">
        <v>2020</v>
      </c>
      <c r="E124" s="8">
        <f>SUM(F124:I124)</f>
        <v>0</v>
      </c>
      <c r="F124" s="8">
        <v>0</v>
      </c>
      <c r="G124" s="9">
        <v>0</v>
      </c>
      <c r="H124" s="9">
        <v>0</v>
      </c>
      <c r="I124" s="9">
        <v>0</v>
      </c>
      <c r="J124" s="756"/>
      <c r="K124" s="757"/>
    </row>
    <row r="125" spans="1:11" s="2" customFormat="1" ht="13.5" customHeight="1">
      <c r="A125" s="763" t="s">
        <v>202</v>
      </c>
      <c r="B125" s="754" t="s">
        <v>55</v>
      </c>
      <c r="C125" s="755" t="s">
        <v>14</v>
      </c>
      <c r="D125" s="44" t="s">
        <v>8</v>
      </c>
      <c r="E125" s="8">
        <f t="shared" si="12"/>
        <v>108562.5</v>
      </c>
      <c r="F125" s="8">
        <f>SUM(F126:F130)</f>
        <v>108562.5</v>
      </c>
      <c r="G125" s="8">
        <f>SUM(G126:G130)</f>
        <v>0</v>
      </c>
      <c r="H125" s="8">
        <f>SUM(H126:H130)</f>
        <v>0</v>
      </c>
      <c r="I125" s="8">
        <f>SUM(I126:I130)</f>
        <v>0</v>
      </c>
      <c r="J125" s="756" t="s">
        <v>203</v>
      </c>
      <c r="K125" s="757" t="s">
        <v>26</v>
      </c>
    </row>
    <row r="126" spans="1:11" s="2" customFormat="1" ht="13.5" customHeight="1">
      <c r="A126" s="763"/>
      <c r="B126" s="754"/>
      <c r="C126" s="755"/>
      <c r="D126" s="44">
        <v>2016</v>
      </c>
      <c r="E126" s="8">
        <f t="shared" si="12"/>
        <v>20912.5</v>
      </c>
      <c r="F126" s="8">
        <v>20912.5</v>
      </c>
      <c r="G126" s="9">
        <v>0</v>
      </c>
      <c r="H126" s="9">
        <v>0</v>
      </c>
      <c r="I126" s="9">
        <v>0</v>
      </c>
      <c r="J126" s="756"/>
      <c r="K126" s="757"/>
    </row>
    <row r="127" spans="1:11" s="2" customFormat="1" ht="13.5" customHeight="1">
      <c r="A127" s="763"/>
      <c r="B127" s="754"/>
      <c r="C127" s="755"/>
      <c r="D127" s="44">
        <v>2017</v>
      </c>
      <c r="E127" s="8">
        <f>SUM(F127:I127)</f>
        <v>21912.5</v>
      </c>
      <c r="F127" s="8">
        <v>21912.5</v>
      </c>
      <c r="G127" s="9">
        <v>0</v>
      </c>
      <c r="H127" s="9">
        <v>0</v>
      </c>
      <c r="I127" s="9">
        <v>0</v>
      </c>
      <c r="J127" s="756"/>
      <c r="K127" s="757"/>
    </row>
    <row r="128" spans="1:11" s="2" customFormat="1" ht="13.5" customHeight="1">
      <c r="A128" s="763"/>
      <c r="B128" s="754"/>
      <c r="C128" s="755"/>
      <c r="D128" s="44">
        <v>2018</v>
      </c>
      <c r="E128" s="8">
        <f t="shared" si="12"/>
        <v>21912.5</v>
      </c>
      <c r="F128" s="8">
        <v>21912.5</v>
      </c>
      <c r="G128" s="9">
        <v>0</v>
      </c>
      <c r="H128" s="9">
        <v>0</v>
      </c>
      <c r="I128" s="9">
        <v>0</v>
      </c>
      <c r="J128" s="756"/>
      <c r="K128" s="757"/>
    </row>
    <row r="129" spans="1:11" s="2" customFormat="1" ht="13.5" customHeight="1">
      <c r="A129" s="763"/>
      <c r="B129" s="754"/>
      <c r="C129" s="755"/>
      <c r="D129" s="44">
        <v>2019</v>
      </c>
      <c r="E129" s="8">
        <f>SUM(F129:I129)</f>
        <v>21912.5</v>
      </c>
      <c r="F129" s="8">
        <v>21912.5</v>
      </c>
      <c r="G129" s="9">
        <v>0</v>
      </c>
      <c r="H129" s="9">
        <v>0</v>
      </c>
      <c r="I129" s="9">
        <v>0</v>
      </c>
      <c r="J129" s="756"/>
      <c r="K129" s="757"/>
    </row>
    <row r="130" spans="1:11" s="2" customFormat="1" ht="13.5" customHeight="1">
      <c r="A130" s="763"/>
      <c r="B130" s="754"/>
      <c r="C130" s="755"/>
      <c r="D130" s="44">
        <v>2020</v>
      </c>
      <c r="E130" s="8">
        <f>SUM(F130:I130)</f>
        <v>21912.5</v>
      </c>
      <c r="F130" s="8">
        <v>21912.5</v>
      </c>
      <c r="G130" s="9">
        <v>0</v>
      </c>
      <c r="H130" s="9">
        <v>0</v>
      </c>
      <c r="I130" s="9">
        <v>0</v>
      </c>
      <c r="J130" s="756"/>
      <c r="K130" s="757"/>
    </row>
    <row r="131" spans="1:11" s="2" customFormat="1" ht="15" customHeight="1">
      <c r="A131" s="753" t="s">
        <v>204</v>
      </c>
      <c r="B131" s="754" t="s">
        <v>56</v>
      </c>
      <c r="C131" s="755" t="s">
        <v>14</v>
      </c>
      <c r="D131" s="48" t="s">
        <v>8</v>
      </c>
      <c r="E131" s="8">
        <f t="shared" si="12"/>
        <v>5391</v>
      </c>
      <c r="F131" s="8">
        <f>SUM(F132:F136)</f>
        <v>5391</v>
      </c>
      <c r="G131" s="8">
        <f>SUM(G132:G136)</f>
        <v>0</v>
      </c>
      <c r="H131" s="8">
        <f>SUM(H132:H136)</f>
        <v>0</v>
      </c>
      <c r="I131" s="8">
        <f>SUM(I132:I136)</f>
        <v>0</v>
      </c>
      <c r="J131" s="756" t="s">
        <v>57</v>
      </c>
      <c r="K131" s="757" t="s">
        <v>26</v>
      </c>
    </row>
    <row r="132" spans="1:11" s="2" customFormat="1">
      <c r="A132" s="753"/>
      <c r="B132" s="754"/>
      <c r="C132" s="755"/>
      <c r="D132" s="48">
        <v>2016</v>
      </c>
      <c r="E132" s="8">
        <f t="shared" si="12"/>
        <v>1084</v>
      </c>
      <c r="F132" s="8">
        <v>1084</v>
      </c>
      <c r="G132" s="9">
        <v>0</v>
      </c>
      <c r="H132" s="9">
        <v>0</v>
      </c>
      <c r="I132" s="9">
        <v>0</v>
      </c>
      <c r="J132" s="756"/>
      <c r="K132" s="757"/>
    </row>
    <row r="133" spans="1:11" s="2" customFormat="1">
      <c r="A133" s="753"/>
      <c r="B133" s="754"/>
      <c r="C133" s="755"/>
      <c r="D133" s="48">
        <v>2017</v>
      </c>
      <c r="E133" s="8">
        <f>SUM(F133:I133)</f>
        <v>1055</v>
      </c>
      <c r="F133" s="8">
        <v>1055</v>
      </c>
      <c r="G133" s="9">
        <v>0</v>
      </c>
      <c r="H133" s="9">
        <v>0</v>
      </c>
      <c r="I133" s="9">
        <v>0</v>
      </c>
      <c r="J133" s="756"/>
      <c r="K133" s="757"/>
    </row>
    <row r="134" spans="1:11" s="2" customFormat="1">
      <c r="A134" s="753"/>
      <c r="B134" s="754"/>
      <c r="C134" s="755"/>
      <c r="D134" s="48">
        <v>2018</v>
      </c>
      <c r="E134" s="8">
        <f t="shared" si="12"/>
        <v>1084</v>
      </c>
      <c r="F134" s="8">
        <v>1084</v>
      </c>
      <c r="G134" s="9">
        <v>0</v>
      </c>
      <c r="H134" s="9">
        <v>0</v>
      </c>
      <c r="I134" s="9">
        <v>0</v>
      </c>
      <c r="J134" s="756"/>
      <c r="K134" s="757"/>
    </row>
    <row r="135" spans="1:11" s="2" customFormat="1">
      <c r="A135" s="753"/>
      <c r="B135" s="754"/>
      <c r="C135" s="755"/>
      <c r="D135" s="48">
        <v>2019</v>
      </c>
      <c r="E135" s="8">
        <f t="shared" si="12"/>
        <v>1084</v>
      </c>
      <c r="F135" s="8">
        <v>1084</v>
      </c>
      <c r="G135" s="9">
        <v>0</v>
      </c>
      <c r="H135" s="9">
        <v>0</v>
      </c>
      <c r="I135" s="9">
        <v>0</v>
      </c>
      <c r="J135" s="756"/>
      <c r="K135" s="757"/>
    </row>
    <row r="136" spans="1:11" s="2" customFormat="1">
      <c r="A136" s="753"/>
      <c r="B136" s="754"/>
      <c r="C136" s="755"/>
      <c r="D136" s="48">
        <v>2020</v>
      </c>
      <c r="E136" s="8">
        <f>SUM(F136:I136)</f>
        <v>1084</v>
      </c>
      <c r="F136" s="8">
        <v>1084</v>
      </c>
      <c r="G136" s="9">
        <v>0</v>
      </c>
      <c r="H136" s="9">
        <v>0</v>
      </c>
      <c r="I136" s="9">
        <v>0</v>
      </c>
      <c r="J136" s="756"/>
      <c r="K136" s="757"/>
    </row>
    <row r="137" spans="1:11" s="2" customFormat="1" ht="15" customHeight="1">
      <c r="A137" s="753" t="s">
        <v>205</v>
      </c>
      <c r="B137" s="754" t="s">
        <v>153</v>
      </c>
      <c r="C137" s="755" t="s">
        <v>195</v>
      </c>
      <c r="D137" s="44" t="s">
        <v>8</v>
      </c>
      <c r="E137" s="8">
        <f t="shared" si="12"/>
        <v>128.4</v>
      </c>
      <c r="F137" s="8">
        <f>SUM(F138:F142)</f>
        <v>128.4</v>
      </c>
      <c r="G137" s="8">
        <f>SUM(G138:G142)</f>
        <v>0</v>
      </c>
      <c r="H137" s="8">
        <f>SUM(H138:H142)</f>
        <v>0</v>
      </c>
      <c r="I137" s="8">
        <f>SUM(I138:I142)</f>
        <v>0</v>
      </c>
      <c r="J137" s="756" t="s">
        <v>154</v>
      </c>
      <c r="K137" s="757" t="s">
        <v>155</v>
      </c>
    </row>
    <row r="138" spans="1:11" s="2" customFormat="1">
      <c r="A138" s="753"/>
      <c r="B138" s="754"/>
      <c r="C138" s="755"/>
      <c r="D138" s="44">
        <v>2016</v>
      </c>
      <c r="E138" s="8">
        <f t="shared" si="12"/>
        <v>0</v>
      </c>
      <c r="F138" s="8">
        <v>0</v>
      </c>
      <c r="G138" s="9">
        <v>0</v>
      </c>
      <c r="H138" s="9">
        <v>0</v>
      </c>
      <c r="I138" s="9">
        <v>0</v>
      </c>
      <c r="J138" s="756"/>
      <c r="K138" s="757"/>
    </row>
    <row r="139" spans="1:11" s="2" customFormat="1">
      <c r="A139" s="753"/>
      <c r="B139" s="754"/>
      <c r="C139" s="755"/>
      <c r="D139" s="44">
        <v>2017</v>
      </c>
      <c r="E139" s="8">
        <f t="shared" si="12"/>
        <v>32.1</v>
      </c>
      <c r="F139" s="8">
        <v>32.1</v>
      </c>
      <c r="G139" s="9">
        <v>0</v>
      </c>
      <c r="H139" s="9">
        <v>0</v>
      </c>
      <c r="I139" s="9">
        <v>0</v>
      </c>
      <c r="J139" s="756"/>
      <c r="K139" s="757"/>
    </row>
    <row r="140" spans="1:11" s="2" customFormat="1">
      <c r="A140" s="753"/>
      <c r="B140" s="754"/>
      <c r="C140" s="755"/>
      <c r="D140" s="44">
        <v>2018</v>
      </c>
      <c r="E140" s="8">
        <f t="shared" si="12"/>
        <v>32.1</v>
      </c>
      <c r="F140" s="8">
        <v>32.1</v>
      </c>
      <c r="G140" s="9">
        <v>0</v>
      </c>
      <c r="H140" s="9">
        <v>0</v>
      </c>
      <c r="I140" s="9">
        <v>0</v>
      </c>
      <c r="J140" s="756"/>
      <c r="K140" s="757"/>
    </row>
    <row r="141" spans="1:11" s="2" customFormat="1">
      <c r="A141" s="753"/>
      <c r="B141" s="754"/>
      <c r="C141" s="755"/>
      <c r="D141" s="44">
        <v>2019</v>
      </c>
      <c r="E141" s="8">
        <f t="shared" si="12"/>
        <v>32.1</v>
      </c>
      <c r="F141" s="8">
        <v>32.1</v>
      </c>
      <c r="G141" s="9">
        <v>0</v>
      </c>
      <c r="H141" s="9">
        <v>0</v>
      </c>
      <c r="I141" s="9">
        <v>0</v>
      </c>
      <c r="J141" s="756"/>
      <c r="K141" s="757"/>
    </row>
    <row r="142" spans="1:11" s="2" customFormat="1">
      <c r="A142" s="753"/>
      <c r="B142" s="754"/>
      <c r="C142" s="755"/>
      <c r="D142" s="44">
        <v>2019</v>
      </c>
      <c r="E142" s="8">
        <f>SUM(F142:I142)</f>
        <v>32.1</v>
      </c>
      <c r="F142" s="8">
        <v>32.1</v>
      </c>
      <c r="G142" s="9">
        <v>0</v>
      </c>
      <c r="H142" s="9">
        <v>0</v>
      </c>
      <c r="I142" s="9">
        <v>0</v>
      </c>
      <c r="J142" s="756"/>
      <c r="K142" s="757"/>
    </row>
    <row r="143" spans="1:11" s="2" customFormat="1" ht="15" customHeight="1">
      <c r="A143" s="753" t="s">
        <v>206</v>
      </c>
      <c r="B143" s="754" t="s">
        <v>207</v>
      </c>
      <c r="C143" s="755">
        <v>2018</v>
      </c>
      <c r="D143" s="44" t="s">
        <v>8</v>
      </c>
      <c r="E143" s="8">
        <f>SUM(F143:I143)</f>
        <v>9660.1</v>
      </c>
      <c r="F143" s="8">
        <f>SUM(F144:F148)</f>
        <v>9660.1</v>
      </c>
      <c r="G143" s="8">
        <f>SUM(G144:G148)</f>
        <v>0</v>
      </c>
      <c r="H143" s="8">
        <f>SUM(H144:H148)</f>
        <v>0</v>
      </c>
      <c r="I143" s="8">
        <f>SUM(I144:I148)</f>
        <v>0</v>
      </c>
      <c r="J143" s="756" t="s">
        <v>208</v>
      </c>
      <c r="K143" s="757" t="s">
        <v>66</v>
      </c>
    </row>
    <row r="144" spans="1:11" s="2" customFormat="1">
      <c r="A144" s="753"/>
      <c r="B144" s="754"/>
      <c r="C144" s="755"/>
      <c r="D144" s="44">
        <v>2016</v>
      </c>
      <c r="E144" s="8">
        <f>SUM(F144:I144)</f>
        <v>0</v>
      </c>
      <c r="F144" s="8">
        <v>0</v>
      </c>
      <c r="G144" s="9">
        <v>0</v>
      </c>
      <c r="H144" s="9">
        <v>0</v>
      </c>
      <c r="I144" s="9">
        <v>0</v>
      </c>
      <c r="J144" s="756"/>
      <c r="K144" s="757"/>
    </row>
    <row r="145" spans="1:11" s="2" customFormat="1">
      <c r="A145" s="753"/>
      <c r="B145" s="754"/>
      <c r="C145" s="755"/>
      <c r="D145" s="44">
        <v>2017</v>
      </c>
      <c r="E145" s="8">
        <v>0</v>
      </c>
      <c r="F145" s="8">
        <v>0</v>
      </c>
      <c r="G145" s="9">
        <v>0</v>
      </c>
      <c r="H145" s="9">
        <v>0</v>
      </c>
      <c r="I145" s="9">
        <v>0</v>
      </c>
      <c r="J145" s="756"/>
      <c r="K145" s="757"/>
    </row>
    <row r="146" spans="1:11" s="2" customFormat="1">
      <c r="A146" s="753"/>
      <c r="B146" s="754"/>
      <c r="C146" s="755"/>
      <c r="D146" s="44">
        <v>2018</v>
      </c>
      <c r="E146" s="8">
        <f>SUM(F146:I146)</f>
        <v>9660.1</v>
      </c>
      <c r="F146" s="8">
        <v>9660.1</v>
      </c>
      <c r="G146" s="9">
        <v>0</v>
      </c>
      <c r="H146" s="9">
        <v>0</v>
      </c>
      <c r="I146" s="9">
        <v>0</v>
      </c>
      <c r="J146" s="756"/>
      <c r="K146" s="757"/>
    </row>
    <row r="147" spans="1:11" s="2" customFormat="1">
      <c r="A147" s="753"/>
      <c r="B147" s="754"/>
      <c r="C147" s="755"/>
      <c r="D147" s="44">
        <v>2019</v>
      </c>
      <c r="E147" s="8">
        <f>SUM(F147:I147)</f>
        <v>0</v>
      </c>
      <c r="F147" s="8">
        <v>0</v>
      </c>
      <c r="G147" s="9">
        <v>0</v>
      </c>
      <c r="H147" s="9">
        <v>0</v>
      </c>
      <c r="I147" s="9">
        <v>0</v>
      </c>
      <c r="J147" s="756"/>
      <c r="K147" s="757"/>
    </row>
    <row r="148" spans="1:11" s="2" customFormat="1">
      <c r="A148" s="753"/>
      <c r="B148" s="754"/>
      <c r="C148" s="755"/>
      <c r="D148" s="44">
        <v>2020</v>
      </c>
      <c r="E148" s="8">
        <f>SUM(F148:I148)</f>
        <v>0</v>
      </c>
      <c r="F148" s="8">
        <v>0</v>
      </c>
      <c r="G148" s="9">
        <v>0</v>
      </c>
      <c r="H148" s="9">
        <v>0</v>
      </c>
      <c r="I148" s="9">
        <v>0</v>
      </c>
      <c r="J148" s="756"/>
      <c r="K148" s="757"/>
    </row>
    <row r="149" spans="1:11" s="2" customFormat="1" ht="30" customHeight="1">
      <c r="A149" s="753" t="s">
        <v>176</v>
      </c>
      <c r="B149" s="754" t="s">
        <v>59</v>
      </c>
      <c r="C149" s="755" t="s">
        <v>14</v>
      </c>
      <c r="D149" s="48" t="s">
        <v>8</v>
      </c>
      <c r="E149" s="8">
        <f>SUM(E150:E154)</f>
        <v>1859025.1</v>
      </c>
      <c r="F149" s="8">
        <f>F150+F151+F152+F153+F154</f>
        <v>1834395.6</v>
      </c>
      <c r="G149" s="8">
        <f>G150+G151+G152+G153+G154</f>
        <v>24629.5</v>
      </c>
      <c r="H149" s="8">
        <f>H150+H151+H152+H153+H154</f>
        <v>0</v>
      </c>
      <c r="I149" s="8">
        <f>I150+I151+I152+I153+I154</f>
        <v>0</v>
      </c>
      <c r="J149" s="756" t="s">
        <v>60</v>
      </c>
      <c r="K149" s="757" t="s">
        <v>18</v>
      </c>
    </row>
    <row r="150" spans="1:11" s="2" customFormat="1" ht="30" customHeight="1">
      <c r="A150" s="753"/>
      <c r="B150" s="754"/>
      <c r="C150" s="755"/>
      <c r="D150" s="48">
        <v>2016</v>
      </c>
      <c r="E150" s="8">
        <f t="shared" ref="E150:E159" si="13">SUM(F150:I150)</f>
        <v>297039.60000000003</v>
      </c>
      <c r="F150" s="8">
        <f t="shared" ref="F150:I154" si="14">F156+F162+F168+F174</f>
        <v>290831.7</v>
      </c>
      <c r="G150" s="8">
        <f t="shared" si="14"/>
        <v>6207.9</v>
      </c>
      <c r="H150" s="8">
        <f t="shared" si="14"/>
        <v>0</v>
      </c>
      <c r="I150" s="8">
        <f t="shared" si="14"/>
        <v>0</v>
      </c>
      <c r="J150" s="756"/>
      <c r="K150" s="757"/>
    </row>
    <row r="151" spans="1:11" s="2" customFormat="1" ht="30" customHeight="1">
      <c r="A151" s="753"/>
      <c r="B151" s="754"/>
      <c r="C151" s="755"/>
      <c r="D151" s="48">
        <v>2017</v>
      </c>
      <c r="E151" s="8">
        <f>SUM(F151:I151)</f>
        <v>344371.4</v>
      </c>
      <c r="F151" s="8">
        <f t="shared" si="14"/>
        <v>336315.9</v>
      </c>
      <c r="G151" s="8">
        <f t="shared" si="14"/>
        <v>8055.5</v>
      </c>
      <c r="H151" s="8">
        <f t="shared" si="14"/>
        <v>0</v>
      </c>
      <c r="I151" s="8">
        <f t="shared" si="14"/>
        <v>0</v>
      </c>
      <c r="J151" s="756"/>
      <c r="K151" s="757"/>
    </row>
    <row r="152" spans="1:11" s="2" customFormat="1" ht="30" customHeight="1">
      <c r="A152" s="753"/>
      <c r="B152" s="754"/>
      <c r="C152" s="755"/>
      <c r="D152" s="48">
        <v>2018</v>
      </c>
      <c r="E152" s="8">
        <f t="shared" si="13"/>
        <v>397227.1</v>
      </c>
      <c r="F152" s="8">
        <f t="shared" si="14"/>
        <v>386861</v>
      </c>
      <c r="G152" s="8">
        <f t="shared" si="14"/>
        <v>10366.1</v>
      </c>
      <c r="H152" s="8">
        <f t="shared" si="14"/>
        <v>0</v>
      </c>
      <c r="I152" s="8">
        <f t="shared" si="14"/>
        <v>0</v>
      </c>
      <c r="J152" s="756"/>
      <c r="K152" s="757"/>
    </row>
    <row r="153" spans="1:11" s="2" customFormat="1" ht="30" customHeight="1">
      <c r="A153" s="753"/>
      <c r="B153" s="754"/>
      <c r="C153" s="755"/>
      <c r="D153" s="48">
        <v>2019</v>
      </c>
      <c r="E153" s="8">
        <f>SUM(F153:I153)</f>
        <v>405048.2</v>
      </c>
      <c r="F153" s="8">
        <f t="shared" si="14"/>
        <v>405048.2</v>
      </c>
      <c r="G153" s="8">
        <f t="shared" si="14"/>
        <v>0</v>
      </c>
      <c r="H153" s="8">
        <f t="shared" si="14"/>
        <v>0</v>
      </c>
      <c r="I153" s="8">
        <f t="shared" si="14"/>
        <v>0</v>
      </c>
      <c r="J153" s="756"/>
      <c r="K153" s="757"/>
    </row>
    <row r="154" spans="1:11" s="2" customFormat="1" ht="30" customHeight="1">
      <c r="A154" s="753"/>
      <c r="B154" s="754"/>
      <c r="C154" s="755"/>
      <c r="D154" s="48">
        <v>2020</v>
      </c>
      <c r="E154" s="8">
        <f>SUM(F154:I154)</f>
        <v>415338.8</v>
      </c>
      <c r="F154" s="8">
        <f t="shared" si="14"/>
        <v>415338.8</v>
      </c>
      <c r="G154" s="8">
        <f t="shared" si="14"/>
        <v>0</v>
      </c>
      <c r="H154" s="8">
        <f t="shared" si="14"/>
        <v>0</v>
      </c>
      <c r="I154" s="8">
        <f t="shared" si="14"/>
        <v>0</v>
      </c>
      <c r="J154" s="756"/>
      <c r="K154" s="757"/>
    </row>
    <row r="155" spans="1:11" s="2" customFormat="1" ht="17.100000000000001" customHeight="1">
      <c r="A155" s="753" t="s">
        <v>58</v>
      </c>
      <c r="B155" s="754" t="s">
        <v>22</v>
      </c>
      <c r="C155" s="755" t="s">
        <v>14</v>
      </c>
      <c r="D155" s="44" t="s">
        <v>8</v>
      </c>
      <c r="E155" s="8">
        <f>SUM(E156:E160)</f>
        <v>1792553.1</v>
      </c>
      <c r="F155" s="8">
        <f>SUM(F156:F160)</f>
        <v>1792553.1</v>
      </c>
      <c r="G155" s="8">
        <f>SUM(G156:G159)</f>
        <v>0</v>
      </c>
      <c r="H155" s="8">
        <f>SUM(H156:H159)</f>
        <v>0</v>
      </c>
      <c r="I155" s="8">
        <f>SUM(I156:I159)</f>
        <v>0</v>
      </c>
      <c r="J155" s="756" t="s">
        <v>156</v>
      </c>
      <c r="K155" s="757" t="s">
        <v>61</v>
      </c>
    </row>
    <row r="156" spans="1:11" s="2" customFormat="1" ht="17.100000000000001" customHeight="1">
      <c r="A156" s="753"/>
      <c r="B156" s="754"/>
      <c r="C156" s="755"/>
      <c r="D156" s="44">
        <v>2016</v>
      </c>
      <c r="E156" s="8">
        <f t="shared" si="13"/>
        <v>288974</v>
      </c>
      <c r="F156" s="9">
        <v>288974</v>
      </c>
      <c r="G156" s="9">
        <f>[10]План!G232+[10]План!G240+[10]План!G248+[10]План!G256+[10]План!G264+[10]План!G272+[10]План!G280+[10]План!G288+[10]План!G296+[10]План!G304+[10]План!G312+[10]План!G320+[10]План!G328+[10]План!G336+[10]План!G344+[10]План!G352+[10]План!G360+[10]План!G368+[10]План!G376+[10]План!G384+[10]План!G392+[10]План!G400+[10]План!G408+[10]План!G416+[10]План!G424+[10]План!G432+[10]План!G440+[10]План!G448+[10]План!G456+[10]План!G464+[10]План!G472+[10]План!G480+[10]План!G488+[10]План!G496+[10]План!G504+[10]План!G512+[10]План!G520+[10]План!G528+[10]План!G536+[10]План!G544+[10]План!G552+[10]План!G560+[10]План!G568+[10]План!G584+[10]План!G592</f>
        <v>0</v>
      </c>
      <c r="H156" s="9">
        <f>[10]План!H232+[10]План!H240+[10]План!H248+[10]План!H256+[10]План!H264+[10]План!H272+[10]План!H280+[10]План!H288+[10]План!H296+[10]План!H304+[10]План!H312+[10]План!H320+[10]План!H328+[10]План!H336+[10]План!H344+[10]План!H352+[10]План!H360+[10]План!H368+[10]План!H376+[10]План!H384+[10]План!H392+[10]План!H400+[10]План!H408+[10]План!H416+[10]План!H424+[10]План!H432+[10]План!H440+[10]План!H448+[10]План!H456+[10]План!H464+[10]План!H472+[10]План!H480+[10]План!H488+[10]План!H496+[10]План!H504+[10]План!H512+[10]План!H520+[10]План!H528+[10]План!H536+[10]План!H544+[10]План!H552+[10]План!H560+[10]План!H568+[10]План!H584+[10]План!H592</f>
        <v>0</v>
      </c>
      <c r="I156" s="9">
        <f>[10]План!I232+[10]План!I240+[10]План!I248+[10]План!I256+[10]План!I264+[10]План!I272+[10]План!I280+[10]План!I288+[10]План!I296+[10]План!I304+[10]План!I312+[10]План!I320+[10]План!I328+[10]План!I336+[10]План!I344+[10]План!I352+[10]План!I360+[10]План!I368+[10]План!I376+[10]План!I384+[10]План!I392+[10]План!I400+[10]План!I408+[10]План!I416+[10]План!I424+[10]План!I432+[10]План!I440+[10]План!I448+[10]План!I456+[10]План!I464+[10]План!I472+[10]План!I480+[10]План!I488+[10]План!I496+[10]План!I504+[10]План!I512+[10]План!I520+[10]План!I528+[10]План!I536+[10]План!I544+[10]План!I552+[10]План!I560+[10]План!I568+[10]План!I584+[10]План!I592</f>
        <v>0</v>
      </c>
      <c r="J156" s="756"/>
      <c r="K156" s="757"/>
    </row>
    <row r="157" spans="1:11" s="2" customFormat="1" ht="17.100000000000001" customHeight="1">
      <c r="A157" s="753"/>
      <c r="B157" s="754"/>
      <c r="C157" s="755"/>
      <c r="D157" s="44">
        <v>2017</v>
      </c>
      <c r="E157" s="8">
        <f>SUM(F157:I157)</f>
        <v>334047.40000000002</v>
      </c>
      <c r="F157" s="9">
        <v>334047.40000000002</v>
      </c>
      <c r="G157" s="9">
        <f>[10]План!G233+[10]План!G241+[10]План!G249+[10]План!G257+[10]План!G265+[10]План!G273+[10]План!G281+[10]План!G289+[10]План!G297+[10]План!G305+[10]План!G313+[10]План!G321+[10]План!G329+[10]План!G337+[10]План!G345+[10]План!G353+[10]План!G361+[10]План!G369+[10]План!G377+[10]План!G385+[10]План!G393+[10]План!G401+[10]План!G409+[10]План!G417+[10]План!G425+[10]План!G433+[10]План!G441+[10]План!G449+[10]План!G457+[10]План!G465+[10]План!G473+[10]План!G481+[10]План!G489+[10]План!G497+[10]План!G505+[10]План!G513+[10]План!G521+[10]План!G529+[10]План!G537+[10]План!G545+[10]План!G553+[10]План!G561+[10]План!G569+[10]План!G585+[10]План!G593</f>
        <v>0</v>
      </c>
      <c r="H157" s="9">
        <f>[10]План!H233+[10]План!H241+[10]План!H249+[10]План!H257+[10]План!H265+[10]План!H273+[10]План!H281+[10]План!H289+[10]План!H297+[10]План!H305+[10]План!H313+[10]План!H321+[10]План!H329+[10]План!H337+[10]План!H345+[10]План!H353+[10]План!H361+[10]План!H369+[10]План!H377+[10]План!H385+[10]План!H393+[10]План!H401+[10]План!H409+[10]План!H417+[10]План!H425+[10]План!H433+[10]План!H441+[10]План!H449+[10]План!H457+[10]План!H465+[10]План!H473+[10]План!H481+[10]План!H489+[10]План!H497+[10]План!H505+[10]План!H513+[10]План!H521+[10]План!H529+[10]План!H537+[10]План!H545+[10]План!H553+[10]План!H561+[10]План!H569+[10]План!H585+[10]План!H593</f>
        <v>0</v>
      </c>
      <c r="I157" s="9">
        <f>[10]План!I233+[10]План!I241+[10]План!I249+[10]План!I257+[10]План!I265+[10]План!I273+[10]План!I281+[10]План!I289+[10]План!I297+[10]План!I305+[10]План!I313+[10]План!I321+[10]План!I329+[10]План!I337+[10]План!I345+[10]План!I353+[10]План!I361+[10]План!I369+[10]План!I377+[10]План!I385+[10]План!I393+[10]План!I401+[10]План!I409+[10]План!I417+[10]План!I425+[10]План!I433+[10]План!I441+[10]План!I449+[10]План!I457+[10]План!I465+[10]План!I473+[10]План!I481+[10]План!I489+[10]План!I497+[10]План!I505+[10]План!I513+[10]План!I521+[10]План!I529+[10]План!I537+[10]План!I545+[10]План!I553+[10]План!I561+[10]План!I569+[10]План!I585+[10]План!I593</f>
        <v>0</v>
      </c>
      <c r="J157" s="756"/>
      <c r="K157" s="757"/>
    </row>
    <row r="158" spans="1:11" s="2" customFormat="1" ht="17.100000000000001" customHeight="1">
      <c r="A158" s="753"/>
      <c r="B158" s="754"/>
      <c r="C158" s="755"/>
      <c r="D158" s="44">
        <v>2018</v>
      </c>
      <c r="E158" s="8">
        <f t="shared" si="13"/>
        <v>380854.7</v>
      </c>
      <c r="F158" s="9">
        <v>380854.7</v>
      </c>
      <c r="G158" s="9">
        <f>[10]План!G234+[10]План!G242+[10]План!G250+[10]План!G258+[10]План!G266+[10]План!G274+[10]План!G282+[10]План!G290+[10]План!G298+[10]План!G306+[10]План!G314+[10]План!G322+[10]План!G330+[10]План!G338+[10]План!G346+[10]План!G354+[10]План!G362+[10]План!G370+[10]План!G378+[10]План!G386+[10]План!G394+[10]План!G402+[10]План!G410+[10]План!G418+[10]План!G426+[10]План!G434+[10]План!G442+[10]План!G450+[10]План!G458+[10]План!G466+[10]План!G474+[10]План!G482+[10]План!G490+[10]План!G498+[10]План!G506+[10]План!G514+[10]План!G522+[10]План!G530+[10]План!G538+[10]План!G546+[10]План!G554+[10]План!G562+[10]План!G570+[10]План!G586+[10]План!G594</f>
        <v>0</v>
      </c>
      <c r="H158" s="9">
        <f>[10]План!H234+[10]План!H242+[10]План!H250+[10]План!H258+[10]План!H266+[10]План!H274+[10]План!H282+[10]План!H290+[10]План!H298+[10]План!H306+[10]План!H314+[10]План!H322+[10]План!H330+[10]План!H338+[10]План!H346+[10]План!H354+[10]План!H362+[10]План!H370+[10]План!H378+[10]План!H386+[10]План!H394+[10]План!H402+[10]План!H410+[10]План!H418+[10]План!H426+[10]План!H434+[10]План!H442+[10]План!H450+[10]План!H458+[10]План!H466+[10]План!H474+[10]План!H482+[10]План!H490+[10]План!H498+[10]План!H506+[10]План!H514+[10]План!H522+[10]План!H530+[10]План!H538+[10]План!H546+[10]План!H554+[10]План!H562+[10]План!H570+[10]План!H586+[10]План!H594</f>
        <v>0</v>
      </c>
      <c r="I158" s="9">
        <f>[10]План!I234+[10]План!I242+[10]План!I250+[10]План!I258+[10]План!I266+[10]План!I274+[10]План!I282+[10]План!I290+[10]План!I298+[10]План!I306+[10]План!I314+[10]План!I322+[10]План!I330+[10]План!I338+[10]План!I346+[10]План!I354+[10]План!I362+[10]План!I370+[10]План!I378+[10]План!I386+[10]План!I394+[10]План!I402+[10]План!I410+[10]План!I418+[10]План!I426+[10]План!I434+[10]План!I442+[10]План!I450+[10]План!I458+[10]План!I466+[10]План!I474+[10]План!I482+[10]План!I490+[10]План!I498+[10]План!I506+[10]План!I514+[10]План!I522+[10]План!I530+[10]План!I538+[10]План!I546+[10]План!I554+[10]План!I562+[10]План!I570+[10]План!I586+[10]План!I594</f>
        <v>0</v>
      </c>
      <c r="J158" s="756"/>
      <c r="K158" s="757"/>
    </row>
    <row r="159" spans="1:11" s="2" customFormat="1" ht="17.100000000000001" customHeight="1">
      <c r="A159" s="753"/>
      <c r="B159" s="754"/>
      <c r="C159" s="755"/>
      <c r="D159" s="44">
        <v>2019</v>
      </c>
      <c r="E159" s="8">
        <f t="shared" si="13"/>
        <v>389193.2</v>
      </c>
      <c r="F159" s="9">
        <v>389193.2</v>
      </c>
      <c r="G159" s="9">
        <v>0</v>
      </c>
      <c r="H159" s="9">
        <v>0</v>
      </c>
      <c r="I159" s="9">
        <v>0</v>
      </c>
      <c r="J159" s="756"/>
      <c r="K159" s="757"/>
    </row>
    <row r="160" spans="1:11" s="2" customFormat="1" ht="17.100000000000001" customHeight="1">
      <c r="A160" s="753"/>
      <c r="B160" s="754"/>
      <c r="C160" s="755"/>
      <c r="D160" s="44">
        <v>2020</v>
      </c>
      <c r="E160" s="8">
        <f>SUM(F160:I160)</f>
        <v>399483.8</v>
      </c>
      <c r="F160" s="9">
        <v>399483.8</v>
      </c>
      <c r="G160" s="9">
        <v>0</v>
      </c>
      <c r="H160" s="9">
        <v>0</v>
      </c>
      <c r="I160" s="9">
        <v>0</v>
      </c>
      <c r="J160" s="756"/>
      <c r="K160" s="757"/>
    </row>
    <row r="161" spans="1:11" s="2" customFormat="1" ht="13.5" customHeight="1">
      <c r="A161" s="753" t="s">
        <v>67</v>
      </c>
      <c r="B161" s="754" t="s">
        <v>62</v>
      </c>
      <c r="C161" s="755" t="s">
        <v>14</v>
      </c>
      <c r="D161" s="44" t="s">
        <v>8</v>
      </c>
      <c r="E161" s="8">
        <f>SUM(E162:E166)</f>
        <v>8664.2000000000007</v>
      </c>
      <c r="F161" s="8">
        <f>SUM(F162:F166)</f>
        <v>8664.2000000000007</v>
      </c>
      <c r="G161" s="8">
        <f>SUM(G162:G166)</f>
        <v>0</v>
      </c>
      <c r="H161" s="8">
        <f>SUM(H162:H166)</f>
        <v>0</v>
      </c>
      <c r="I161" s="8">
        <f>SUM(I162:I166)</f>
        <v>0</v>
      </c>
      <c r="J161" s="756" t="s">
        <v>63</v>
      </c>
      <c r="K161" s="757" t="s">
        <v>61</v>
      </c>
    </row>
    <row r="162" spans="1:11" s="2" customFormat="1" ht="13.5" customHeight="1">
      <c r="A162" s="753"/>
      <c r="B162" s="754"/>
      <c r="C162" s="755"/>
      <c r="D162" s="44">
        <v>2016</v>
      </c>
      <c r="E162" s="8">
        <f>SUM(F162:I162)</f>
        <v>1527.7</v>
      </c>
      <c r="F162" s="8">
        <v>1527.7</v>
      </c>
      <c r="G162" s="9">
        <v>0</v>
      </c>
      <c r="H162" s="9">
        <v>0</v>
      </c>
      <c r="I162" s="9">
        <v>0</v>
      </c>
      <c r="J162" s="756"/>
      <c r="K162" s="757"/>
    </row>
    <row r="163" spans="1:11" s="2" customFormat="1" ht="13.5" customHeight="1">
      <c r="A163" s="753"/>
      <c r="B163" s="754"/>
      <c r="C163" s="755"/>
      <c r="D163" s="44">
        <v>2017</v>
      </c>
      <c r="E163" s="8">
        <f>SUM(F163:I163)</f>
        <v>1819.6</v>
      </c>
      <c r="F163" s="8">
        <v>1819.6</v>
      </c>
      <c r="G163" s="9">
        <v>0</v>
      </c>
      <c r="H163" s="9">
        <v>0</v>
      </c>
      <c r="I163" s="9">
        <v>0</v>
      </c>
      <c r="J163" s="756"/>
      <c r="K163" s="757"/>
    </row>
    <row r="164" spans="1:11" s="2" customFormat="1" ht="13.5" customHeight="1">
      <c r="A164" s="753"/>
      <c r="B164" s="754"/>
      <c r="C164" s="755"/>
      <c r="D164" s="44">
        <v>2018</v>
      </c>
      <c r="E164" s="8">
        <f>SUM(F164:I164)</f>
        <v>1772.3</v>
      </c>
      <c r="F164" s="9">
        <v>1772.3</v>
      </c>
      <c r="G164" s="9">
        <v>0</v>
      </c>
      <c r="H164" s="9">
        <v>0</v>
      </c>
      <c r="I164" s="9">
        <v>0</v>
      </c>
      <c r="J164" s="756"/>
      <c r="K164" s="757"/>
    </row>
    <row r="165" spans="1:11" s="2" customFormat="1" ht="13.5" customHeight="1">
      <c r="A165" s="753"/>
      <c r="B165" s="754"/>
      <c r="C165" s="755"/>
      <c r="D165" s="44">
        <v>2019</v>
      </c>
      <c r="E165" s="8">
        <f>SUM(F165:I165)</f>
        <v>1772.3</v>
      </c>
      <c r="F165" s="9">
        <v>1772.3</v>
      </c>
      <c r="G165" s="9">
        <v>0</v>
      </c>
      <c r="H165" s="9">
        <v>0</v>
      </c>
      <c r="I165" s="9">
        <v>0</v>
      </c>
      <c r="J165" s="756"/>
      <c r="K165" s="757"/>
    </row>
    <row r="166" spans="1:11" s="2" customFormat="1" ht="13.5" customHeight="1">
      <c r="A166" s="753"/>
      <c r="B166" s="754"/>
      <c r="C166" s="755"/>
      <c r="D166" s="44">
        <v>2020</v>
      </c>
      <c r="E166" s="8">
        <f>SUM(F166:I166)</f>
        <v>1772.3</v>
      </c>
      <c r="F166" s="9">
        <v>1772.3</v>
      </c>
      <c r="G166" s="9">
        <v>0</v>
      </c>
      <c r="H166" s="9">
        <v>0</v>
      </c>
      <c r="I166" s="9">
        <v>0</v>
      </c>
      <c r="J166" s="756"/>
      <c r="K166" s="757"/>
    </row>
    <row r="167" spans="1:11" s="2" customFormat="1" ht="13.5" customHeight="1">
      <c r="A167" s="753" t="s">
        <v>209</v>
      </c>
      <c r="B167" s="754" t="s">
        <v>64</v>
      </c>
      <c r="C167" s="755" t="s">
        <v>14</v>
      </c>
      <c r="D167" s="48" t="s">
        <v>8</v>
      </c>
      <c r="E167" s="8">
        <f>SUM(E168:E172)</f>
        <v>57788.899999999994</v>
      </c>
      <c r="F167" s="8">
        <f>SUM(F168:F172)</f>
        <v>33159.4</v>
      </c>
      <c r="G167" s="8">
        <f>SUM(G168:G172)</f>
        <v>24629.5</v>
      </c>
      <c r="H167" s="8">
        <f>SUM(H168:H172)</f>
        <v>0</v>
      </c>
      <c r="I167" s="8">
        <f>SUM(I168:I172)</f>
        <v>0</v>
      </c>
      <c r="J167" s="756" t="s">
        <v>65</v>
      </c>
      <c r="K167" s="757" t="s">
        <v>66</v>
      </c>
    </row>
    <row r="168" spans="1:11" s="2" customFormat="1" ht="13.5" customHeight="1">
      <c r="A168" s="753"/>
      <c r="B168" s="754"/>
      <c r="C168" s="755"/>
      <c r="D168" s="48">
        <v>2016</v>
      </c>
      <c r="E168" s="8">
        <f>SUM(F168:I168)</f>
        <v>6537.9</v>
      </c>
      <c r="F168" s="8">
        <v>330</v>
      </c>
      <c r="G168" s="9">
        <v>6207.9</v>
      </c>
      <c r="H168" s="9">
        <v>0</v>
      </c>
      <c r="I168" s="9">
        <v>0</v>
      </c>
      <c r="J168" s="756"/>
      <c r="K168" s="757"/>
    </row>
    <row r="169" spans="1:11" s="2" customFormat="1" ht="13.5" customHeight="1">
      <c r="A169" s="753"/>
      <c r="B169" s="754"/>
      <c r="C169" s="755"/>
      <c r="D169" s="48">
        <v>2017</v>
      </c>
      <c r="E169" s="8">
        <f>SUM(F169:I169)</f>
        <v>8485.5</v>
      </c>
      <c r="F169" s="8">
        <v>430</v>
      </c>
      <c r="G169" s="9">
        <v>8055.5</v>
      </c>
      <c r="H169" s="9">
        <v>0</v>
      </c>
      <c r="I169" s="9">
        <v>0</v>
      </c>
      <c r="J169" s="756"/>
      <c r="K169" s="757"/>
    </row>
    <row r="170" spans="1:11" s="2" customFormat="1" ht="13.5" customHeight="1">
      <c r="A170" s="753"/>
      <c r="B170" s="754"/>
      <c r="C170" s="755"/>
      <c r="D170" s="48">
        <v>2018</v>
      </c>
      <c r="E170" s="8">
        <f>SUM(F170:I170)</f>
        <v>14600.1</v>
      </c>
      <c r="F170" s="9">
        <v>4234</v>
      </c>
      <c r="G170" s="9">
        <v>10366.1</v>
      </c>
      <c r="H170" s="9">
        <v>0</v>
      </c>
      <c r="I170" s="9">
        <v>0</v>
      </c>
      <c r="J170" s="756"/>
      <c r="K170" s="757"/>
    </row>
    <row r="171" spans="1:11" s="2" customFormat="1" ht="13.5" customHeight="1">
      <c r="A171" s="753"/>
      <c r="B171" s="754"/>
      <c r="C171" s="755"/>
      <c r="D171" s="48">
        <v>2019</v>
      </c>
      <c r="E171" s="8">
        <f>SUM(F171:I171)</f>
        <v>14082.7</v>
      </c>
      <c r="F171" s="9">
        <v>14082.7</v>
      </c>
      <c r="G171" s="9">
        <v>0</v>
      </c>
      <c r="H171" s="9">
        <v>0</v>
      </c>
      <c r="I171" s="9">
        <v>0</v>
      </c>
      <c r="J171" s="756"/>
      <c r="K171" s="757"/>
    </row>
    <row r="172" spans="1:11" s="2" customFormat="1" ht="13.5" customHeight="1">
      <c r="A172" s="753"/>
      <c r="B172" s="754"/>
      <c r="C172" s="755"/>
      <c r="D172" s="48">
        <v>2020</v>
      </c>
      <c r="E172" s="8">
        <f>SUM(F172:I172)</f>
        <v>14082.7</v>
      </c>
      <c r="F172" s="9">
        <v>14082.7</v>
      </c>
      <c r="G172" s="9">
        <v>0</v>
      </c>
      <c r="H172" s="9">
        <v>0</v>
      </c>
      <c r="I172" s="9">
        <v>0</v>
      </c>
      <c r="J172" s="756"/>
      <c r="K172" s="757"/>
    </row>
    <row r="173" spans="1:11" s="2" customFormat="1" ht="17.100000000000001" customHeight="1">
      <c r="A173" s="753" t="s">
        <v>210</v>
      </c>
      <c r="B173" s="754" t="s">
        <v>157</v>
      </c>
      <c r="C173" s="755">
        <v>2017</v>
      </c>
      <c r="D173" s="48" t="s">
        <v>8</v>
      </c>
      <c r="E173" s="8">
        <f>SUM(E174:E176)</f>
        <v>18.899999999999999</v>
      </c>
      <c r="F173" s="8">
        <f>SUM(F174:F178)</f>
        <v>18.899999999999999</v>
      </c>
      <c r="G173" s="8">
        <f>SUM(G174:G178)</f>
        <v>0</v>
      </c>
      <c r="H173" s="8">
        <f>SUM(H174:H178)</f>
        <v>0</v>
      </c>
      <c r="I173" s="8">
        <f>SUM(I174:I178)</f>
        <v>0</v>
      </c>
      <c r="J173" s="756" t="s">
        <v>157</v>
      </c>
      <c r="K173" s="757" t="s">
        <v>61</v>
      </c>
    </row>
    <row r="174" spans="1:11" s="2" customFormat="1" ht="17.100000000000001" customHeight="1">
      <c r="A174" s="753"/>
      <c r="B174" s="754"/>
      <c r="C174" s="755"/>
      <c r="D174" s="48">
        <v>2016</v>
      </c>
      <c r="E174" s="8">
        <f>SUM(F174:I174)</f>
        <v>0</v>
      </c>
      <c r="F174" s="8">
        <v>0</v>
      </c>
      <c r="G174" s="9">
        <v>0</v>
      </c>
      <c r="H174" s="9">
        <v>0</v>
      </c>
      <c r="I174" s="9">
        <v>0</v>
      </c>
      <c r="J174" s="756"/>
      <c r="K174" s="757"/>
    </row>
    <row r="175" spans="1:11" s="2" customFormat="1" ht="17.100000000000001" customHeight="1">
      <c r="A175" s="753"/>
      <c r="B175" s="754"/>
      <c r="C175" s="755"/>
      <c r="D175" s="48">
        <v>2017</v>
      </c>
      <c r="E175" s="8">
        <f>SUM(F175:I175)</f>
        <v>18.899999999999999</v>
      </c>
      <c r="F175" s="8">
        <v>18.899999999999999</v>
      </c>
      <c r="G175" s="9">
        <v>0</v>
      </c>
      <c r="H175" s="9">
        <v>0</v>
      </c>
      <c r="I175" s="9">
        <v>0</v>
      </c>
      <c r="J175" s="756"/>
      <c r="K175" s="757"/>
    </row>
    <row r="176" spans="1:11" s="2" customFormat="1" ht="17.100000000000001" customHeight="1">
      <c r="A176" s="753"/>
      <c r="B176" s="754"/>
      <c r="C176" s="755"/>
      <c r="D176" s="48">
        <v>2018</v>
      </c>
      <c r="E176" s="8">
        <f>SUM(F176:I176)</f>
        <v>0</v>
      </c>
      <c r="F176" s="8">
        <v>0</v>
      </c>
      <c r="G176" s="9">
        <v>0</v>
      </c>
      <c r="H176" s="9">
        <v>0</v>
      </c>
      <c r="I176" s="9">
        <v>0</v>
      </c>
      <c r="J176" s="756"/>
      <c r="K176" s="757"/>
    </row>
    <row r="177" spans="1:11" s="2" customFormat="1" ht="17.100000000000001" customHeight="1">
      <c r="A177" s="753"/>
      <c r="B177" s="754"/>
      <c r="C177" s="755"/>
      <c r="D177" s="48">
        <v>2019</v>
      </c>
      <c r="E177" s="8">
        <f>SUM(F177:I177)</f>
        <v>0</v>
      </c>
      <c r="F177" s="8">
        <v>0</v>
      </c>
      <c r="G177" s="9">
        <v>0</v>
      </c>
      <c r="H177" s="9">
        <v>0</v>
      </c>
      <c r="I177" s="9">
        <v>0</v>
      </c>
      <c r="J177" s="756"/>
      <c r="K177" s="757"/>
    </row>
    <row r="178" spans="1:11" s="2" customFormat="1" ht="17.100000000000001" customHeight="1">
      <c r="A178" s="753"/>
      <c r="B178" s="754"/>
      <c r="C178" s="755"/>
      <c r="D178" s="48">
        <v>2020</v>
      </c>
      <c r="E178" s="8">
        <f>SUM(F178:I178)</f>
        <v>0</v>
      </c>
      <c r="F178" s="8">
        <v>0</v>
      </c>
      <c r="G178" s="9">
        <v>0</v>
      </c>
      <c r="H178" s="9">
        <v>0</v>
      </c>
      <c r="I178" s="9">
        <v>0</v>
      </c>
      <c r="J178" s="756"/>
      <c r="K178" s="757"/>
    </row>
    <row r="179" spans="1:11" s="2" customFormat="1" ht="24.95" customHeight="1">
      <c r="A179" s="753" t="s">
        <v>177</v>
      </c>
      <c r="B179" s="754" t="s">
        <v>68</v>
      </c>
      <c r="C179" s="755" t="s">
        <v>14</v>
      </c>
      <c r="D179" s="48" t="s">
        <v>8</v>
      </c>
      <c r="E179" s="8">
        <f t="shared" ref="E179:E184" si="15">F179+G179+H179+I179</f>
        <v>31281.1</v>
      </c>
      <c r="F179" s="8">
        <f>SUM(F180:F184)</f>
        <v>31281.1</v>
      </c>
      <c r="G179" s="8">
        <f>SUM(G180:G184)</f>
        <v>0</v>
      </c>
      <c r="H179" s="8">
        <f>SUM(H180:H184)</f>
        <v>0</v>
      </c>
      <c r="I179" s="8">
        <f>SUM(I180:I184)</f>
        <v>0</v>
      </c>
      <c r="J179" s="756" t="s">
        <v>69</v>
      </c>
      <c r="K179" s="757" t="s">
        <v>42</v>
      </c>
    </row>
    <row r="180" spans="1:11" s="2" customFormat="1" ht="24.95" customHeight="1">
      <c r="A180" s="753"/>
      <c r="B180" s="754"/>
      <c r="C180" s="755"/>
      <c r="D180" s="48">
        <v>2016</v>
      </c>
      <c r="E180" s="8">
        <f t="shared" si="15"/>
        <v>1983.3</v>
      </c>
      <c r="F180" s="8">
        <f t="shared" ref="F180:I184" si="16">F186+F192+F198+F204</f>
        <v>1983.3</v>
      </c>
      <c r="G180" s="8">
        <f t="shared" si="16"/>
        <v>0</v>
      </c>
      <c r="H180" s="8">
        <f t="shared" si="16"/>
        <v>0</v>
      </c>
      <c r="I180" s="8">
        <f t="shared" si="16"/>
        <v>0</v>
      </c>
      <c r="J180" s="756"/>
      <c r="K180" s="757"/>
    </row>
    <row r="181" spans="1:11" s="2" customFormat="1" ht="24.95" customHeight="1">
      <c r="A181" s="753"/>
      <c r="B181" s="754"/>
      <c r="C181" s="755"/>
      <c r="D181" s="48">
        <v>2017</v>
      </c>
      <c r="E181" s="8">
        <f t="shared" si="15"/>
        <v>27553.3</v>
      </c>
      <c r="F181" s="8">
        <f t="shared" si="16"/>
        <v>27553.3</v>
      </c>
      <c r="G181" s="8">
        <f t="shared" si="16"/>
        <v>0</v>
      </c>
      <c r="H181" s="8">
        <f t="shared" si="16"/>
        <v>0</v>
      </c>
      <c r="I181" s="8">
        <f t="shared" si="16"/>
        <v>0</v>
      </c>
      <c r="J181" s="756"/>
      <c r="K181" s="757"/>
    </row>
    <row r="182" spans="1:11" s="2" customFormat="1" ht="24.95" customHeight="1">
      <c r="A182" s="753"/>
      <c r="B182" s="754"/>
      <c r="C182" s="755"/>
      <c r="D182" s="48">
        <v>2018</v>
      </c>
      <c r="E182" s="8">
        <f t="shared" si="15"/>
        <v>581.5</v>
      </c>
      <c r="F182" s="8">
        <f t="shared" si="16"/>
        <v>581.5</v>
      </c>
      <c r="G182" s="8">
        <f t="shared" si="16"/>
        <v>0</v>
      </c>
      <c r="H182" s="8">
        <f t="shared" si="16"/>
        <v>0</v>
      </c>
      <c r="I182" s="8">
        <f t="shared" si="16"/>
        <v>0</v>
      </c>
      <c r="J182" s="756"/>
      <c r="K182" s="757"/>
    </row>
    <row r="183" spans="1:11" s="2" customFormat="1" ht="24.95" customHeight="1">
      <c r="A183" s="753"/>
      <c r="B183" s="754"/>
      <c r="C183" s="755"/>
      <c r="D183" s="48">
        <v>2019</v>
      </c>
      <c r="E183" s="8">
        <f t="shared" si="15"/>
        <v>581.5</v>
      </c>
      <c r="F183" s="8">
        <f t="shared" si="16"/>
        <v>581.5</v>
      </c>
      <c r="G183" s="8">
        <f t="shared" si="16"/>
        <v>0</v>
      </c>
      <c r="H183" s="8">
        <f t="shared" si="16"/>
        <v>0</v>
      </c>
      <c r="I183" s="8">
        <f t="shared" si="16"/>
        <v>0</v>
      </c>
      <c r="J183" s="756"/>
      <c r="K183" s="757"/>
    </row>
    <row r="184" spans="1:11" s="2" customFormat="1" ht="24.95" customHeight="1">
      <c r="A184" s="753"/>
      <c r="B184" s="754"/>
      <c r="C184" s="755"/>
      <c r="D184" s="48">
        <v>2020</v>
      </c>
      <c r="E184" s="8">
        <f t="shared" si="15"/>
        <v>581.5</v>
      </c>
      <c r="F184" s="8">
        <f t="shared" si="16"/>
        <v>581.5</v>
      </c>
      <c r="G184" s="8">
        <f t="shared" si="16"/>
        <v>0</v>
      </c>
      <c r="H184" s="8">
        <f t="shared" si="16"/>
        <v>0</v>
      </c>
      <c r="I184" s="8">
        <f t="shared" si="16"/>
        <v>0</v>
      </c>
      <c r="J184" s="756"/>
      <c r="K184" s="757"/>
    </row>
    <row r="185" spans="1:11" s="2" customFormat="1" ht="15.75" customHeight="1">
      <c r="A185" s="753" t="s">
        <v>211</v>
      </c>
      <c r="B185" s="754" t="s">
        <v>70</v>
      </c>
      <c r="C185" s="755" t="s">
        <v>14</v>
      </c>
      <c r="D185" s="44" t="s">
        <v>8</v>
      </c>
      <c r="E185" s="8">
        <f t="shared" ref="E185:E209" si="17">SUM(F185:I185)</f>
        <v>3331.1</v>
      </c>
      <c r="F185" s="8">
        <f>SUM(F186:F190)</f>
        <v>3331.1</v>
      </c>
      <c r="G185" s="8">
        <f>SUM(G186:G190)</f>
        <v>0</v>
      </c>
      <c r="H185" s="8">
        <f>SUM(H186:H190)</f>
        <v>0</v>
      </c>
      <c r="I185" s="8">
        <f>SUM(I186:I190)</f>
        <v>0</v>
      </c>
      <c r="J185" s="756" t="s">
        <v>71</v>
      </c>
      <c r="K185" s="757" t="s">
        <v>61</v>
      </c>
    </row>
    <row r="186" spans="1:11" s="2" customFormat="1">
      <c r="A186" s="753"/>
      <c r="B186" s="754"/>
      <c r="C186" s="755"/>
      <c r="D186" s="44">
        <v>2016</v>
      </c>
      <c r="E186" s="8">
        <f t="shared" si="17"/>
        <v>883.3</v>
      </c>
      <c r="F186" s="8">
        <v>883.3</v>
      </c>
      <c r="G186" s="9">
        <v>0</v>
      </c>
      <c r="H186" s="9">
        <v>0</v>
      </c>
      <c r="I186" s="9">
        <v>0</v>
      </c>
      <c r="J186" s="756"/>
      <c r="K186" s="757"/>
    </row>
    <row r="187" spans="1:11" s="2" customFormat="1">
      <c r="A187" s="753"/>
      <c r="B187" s="754"/>
      <c r="C187" s="755"/>
      <c r="D187" s="44">
        <v>2017</v>
      </c>
      <c r="E187" s="8">
        <f t="shared" si="17"/>
        <v>703.3</v>
      </c>
      <c r="F187" s="8">
        <v>703.3</v>
      </c>
      <c r="G187" s="9">
        <v>0</v>
      </c>
      <c r="H187" s="9">
        <v>0</v>
      </c>
      <c r="I187" s="9">
        <v>0</v>
      </c>
      <c r="J187" s="756"/>
      <c r="K187" s="757"/>
    </row>
    <row r="188" spans="1:11" s="2" customFormat="1">
      <c r="A188" s="753"/>
      <c r="B188" s="754"/>
      <c r="C188" s="755"/>
      <c r="D188" s="44">
        <v>2018</v>
      </c>
      <c r="E188" s="8">
        <f t="shared" si="17"/>
        <v>581.5</v>
      </c>
      <c r="F188" s="8">
        <v>581.5</v>
      </c>
      <c r="G188" s="9">
        <v>0</v>
      </c>
      <c r="H188" s="9">
        <v>0</v>
      </c>
      <c r="I188" s="9">
        <v>0</v>
      </c>
      <c r="J188" s="756"/>
      <c r="K188" s="757"/>
    </row>
    <row r="189" spans="1:11" s="2" customFormat="1">
      <c r="A189" s="753"/>
      <c r="B189" s="754"/>
      <c r="C189" s="755"/>
      <c r="D189" s="44">
        <v>2019</v>
      </c>
      <c r="E189" s="8">
        <f>SUM(F189:I189)</f>
        <v>581.5</v>
      </c>
      <c r="F189" s="8">
        <v>581.5</v>
      </c>
      <c r="G189" s="9">
        <v>0</v>
      </c>
      <c r="H189" s="9">
        <v>0</v>
      </c>
      <c r="I189" s="9">
        <v>0</v>
      </c>
      <c r="J189" s="756"/>
      <c r="K189" s="757"/>
    </row>
    <row r="190" spans="1:11" s="2" customFormat="1">
      <c r="A190" s="753"/>
      <c r="B190" s="754"/>
      <c r="C190" s="755"/>
      <c r="D190" s="44">
        <v>2020</v>
      </c>
      <c r="E190" s="8">
        <f>SUM(F190:I190)</f>
        <v>581.5</v>
      </c>
      <c r="F190" s="8">
        <v>581.5</v>
      </c>
      <c r="G190" s="9">
        <v>0</v>
      </c>
      <c r="H190" s="9">
        <v>0</v>
      </c>
      <c r="I190" s="9">
        <v>0</v>
      </c>
      <c r="J190" s="756"/>
      <c r="K190" s="757"/>
    </row>
    <row r="191" spans="1:11" s="2" customFormat="1" ht="15.75" customHeight="1">
      <c r="A191" s="753" t="s">
        <v>212</v>
      </c>
      <c r="B191" s="754" t="s">
        <v>72</v>
      </c>
      <c r="C191" s="755">
        <v>2016</v>
      </c>
      <c r="D191" s="48" t="s">
        <v>8</v>
      </c>
      <c r="E191" s="8">
        <f t="shared" si="17"/>
        <v>1100</v>
      </c>
      <c r="F191" s="8">
        <f>SUM(F192:F196)</f>
        <v>1100</v>
      </c>
      <c r="G191" s="8">
        <f>SUM(G192:G196)</f>
        <v>0</v>
      </c>
      <c r="H191" s="8">
        <f>SUM(H192:H196)</f>
        <v>0</v>
      </c>
      <c r="I191" s="8">
        <f>SUM(I192:I196)</f>
        <v>0</v>
      </c>
      <c r="J191" s="756" t="s">
        <v>73</v>
      </c>
      <c r="K191" s="757" t="s">
        <v>66</v>
      </c>
    </row>
    <row r="192" spans="1:11" s="2" customFormat="1">
      <c r="A192" s="753"/>
      <c r="B192" s="754"/>
      <c r="C192" s="755"/>
      <c r="D192" s="48">
        <v>2016</v>
      </c>
      <c r="E192" s="8">
        <f t="shared" si="17"/>
        <v>1100</v>
      </c>
      <c r="F192" s="8">
        <v>1100</v>
      </c>
      <c r="G192" s="9">
        <v>0</v>
      </c>
      <c r="H192" s="9">
        <v>0</v>
      </c>
      <c r="I192" s="9">
        <v>0</v>
      </c>
      <c r="J192" s="756"/>
      <c r="K192" s="757"/>
    </row>
    <row r="193" spans="1:11" s="2" customFormat="1">
      <c r="A193" s="753"/>
      <c r="B193" s="754"/>
      <c r="C193" s="755"/>
      <c r="D193" s="48">
        <v>2017</v>
      </c>
      <c r="E193" s="8">
        <f t="shared" si="17"/>
        <v>0</v>
      </c>
      <c r="F193" s="9">
        <v>0</v>
      </c>
      <c r="G193" s="9">
        <v>0</v>
      </c>
      <c r="H193" s="9">
        <v>0</v>
      </c>
      <c r="I193" s="9">
        <v>0</v>
      </c>
      <c r="J193" s="756"/>
      <c r="K193" s="757"/>
    </row>
    <row r="194" spans="1:11" s="2" customFormat="1">
      <c r="A194" s="753"/>
      <c r="B194" s="754"/>
      <c r="C194" s="755"/>
      <c r="D194" s="48">
        <v>2018</v>
      </c>
      <c r="E194" s="8">
        <f t="shared" si="17"/>
        <v>0</v>
      </c>
      <c r="F194" s="9">
        <v>0</v>
      </c>
      <c r="G194" s="9">
        <v>0</v>
      </c>
      <c r="H194" s="9">
        <v>0</v>
      </c>
      <c r="I194" s="9">
        <v>0</v>
      </c>
      <c r="J194" s="756"/>
      <c r="K194" s="757"/>
    </row>
    <row r="195" spans="1:11" s="2" customFormat="1">
      <c r="A195" s="753"/>
      <c r="B195" s="754"/>
      <c r="C195" s="755"/>
      <c r="D195" s="48">
        <v>2019</v>
      </c>
      <c r="E195" s="8">
        <f>SUM(F195:I195)</f>
        <v>0</v>
      </c>
      <c r="F195" s="9">
        <v>0</v>
      </c>
      <c r="G195" s="9">
        <v>0</v>
      </c>
      <c r="H195" s="9">
        <v>0</v>
      </c>
      <c r="I195" s="9">
        <v>0</v>
      </c>
      <c r="J195" s="756"/>
      <c r="K195" s="757"/>
    </row>
    <row r="196" spans="1:11" s="2" customFormat="1">
      <c r="A196" s="753"/>
      <c r="B196" s="754"/>
      <c r="C196" s="755"/>
      <c r="D196" s="48">
        <v>2020</v>
      </c>
      <c r="E196" s="8">
        <f>SUM(F196:I196)</f>
        <v>0</v>
      </c>
      <c r="F196" s="9">
        <v>0</v>
      </c>
      <c r="G196" s="9">
        <v>0</v>
      </c>
      <c r="H196" s="9">
        <v>0</v>
      </c>
      <c r="I196" s="9">
        <v>0</v>
      </c>
      <c r="J196" s="756"/>
      <c r="K196" s="757"/>
    </row>
    <row r="197" spans="1:11" s="2" customFormat="1" ht="15.75" customHeight="1">
      <c r="A197" s="753" t="s">
        <v>213</v>
      </c>
      <c r="B197" s="754" t="s">
        <v>74</v>
      </c>
      <c r="C197" s="755">
        <v>2017</v>
      </c>
      <c r="D197" s="48" t="s">
        <v>8</v>
      </c>
      <c r="E197" s="8">
        <f t="shared" si="17"/>
        <v>1850</v>
      </c>
      <c r="F197" s="8">
        <f>SUM(F198:F202)</f>
        <v>1850</v>
      </c>
      <c r="G197" s="8">
        <f>SUM(G198:G202)</f>
        <v>0</v>
      </c>
      <c r="H197" s="8">
        <f>SUM(H198:H202)</f>
        <v>0</v>
      </c>
      <c r="I197" s="8">
        <f>SUM(I198:I202)</f>
        <v>0</v>
      </c>
      <c r="J197" s="754" t="s">
        <v>75</v>
      </c>
      <c r="K197" s="757" t="s">
        <v>66</v>
      </c>
    </row>
    <row r="198" spans="1:11" s="2" customFormat="1">
      <c r="A198" s="753"/>
      <c r="B198" s="754"/>
      <c r="C198" s="755"/>
      <c r="D198" s="48">
        <v>2016</v>
      </c>
      <c r="E198" s="8">
        <f t="shared" si="17"/>
        <v>0</v>
      </c>
      <c r="F198" s="8">
        <v>0</v>
      </c>
      <c r="G198" s="9">
        <v>0</v>
      </c>
      <c r="H198" s="9">
        <v>0</v>
      </c>
      <c r="I198" s="9">
        <v>0</v>
      </c>
      <c r="J198" s="754"/>
      <c r="K198" s="757"/>
    </row>
    <row r="199" spans="1:11" s="2" customFormat="1">
      <c r="A199" s="753"/>
      <c r="B199" s="754"/>
      <c r="C199" s="755"/>
      <c r="D199" s="48">
        <v>2017</v>
      </c>
      <c r="E199" s="8">
        <f t="shared" si="17"/>
        <v>1850</v>
      </c>
      <c r="F199" s="9">
        <v>1850</v>
      </c>
      <c r="G199" s="9">
        <v>0</v>
      </c>
      <c r="H199" s="9">
        <v>0</v>
      </c>
      <c r="I199" s="9">
        <v>0</v>
      </c>
      <c r="J199" s="754"/>
      <c r="K199" s="757"/>
    </row>
    <row r="200" spans="1:11" s="2" customFormat="1">
      <c r="A200" s="753"/>
      <c r="B200" s="754"/>
      <c r="C200" s="755"/>
      <c r="D200" s="48">
        <v>2018</v>
      </c>
      <c r="E200" s="8">
        <f t="shared" si="17"/>
        <v>0</v>
      </c>
      <c r="F200" s="9">
        <v>0</v>
      </c>
      <c r="G200" s="9">
        <v>0</v>
      </c>
      <c r="H200" s="9">
        <v>0</v>
      </c>
      <c r="I200" s="9">
        <v>0</v>
      </c>
      <c r="J200" s="754"/>
      <c r="K200" s="757"/>
    </row>
    <row r="201" spans="1:11" s="2" customFormat="1">
      <c r="A201" s="753"/>
      <c r="B201" s="754"/>
      <c r="C201" s="755"/>
      <c r="D201" s="48">
        <v>2019</v>
      </c>
      <c r="E201" s="8">
        <f t="shared" si="17"/>
        <v>0</v>
      </c>
      <c r="F201" s="9">
        <v>0</v>
      </c>
      <c r="G201" s="9">
        <v>0</v>
      </c>
      <c r="H201" s="9">
        <v>0</v>
      </c>
      <c r="I201" s="9">
        <v>0</v>
      </c>
      <c r="J201" s="754"/>
      <c r="K201" s="757"/>
    </row>
    <row r="202" spans="1:11" s="2" customFormat="1">
      <c r="A202" s="753"/>
      <c r="B202" s="754"/>
      <c r="C202" s="755"/>
      <c r="D202" s="48">
        <v>2020</v>
      </c>
      <c r="E202" s="8">
        <f t="shared" ref="E202:E208" si="18">SUM(F202:I202)</f>
        <v>0</v>
      </c>
      <c r="F202" s="9">
        <v>0</v>
      </c>
      <c r="G202" s="9">
        <v>0</v>
      </c>
      <c r="H202" s="9">
        <v>0</v>
      </c>
      <c r="I202" s="9">
        <v>0</v>
      </c>
      <c r="J202" s="754"/>
      <c r="K202" s="757"/>
    </row>
    <row r="203" spans="1:11" s="2" customFormat="1" ht="15.75" customHeight="1">
      <c r="A203" s="753" t="s">
        <v>214</v>
      </c>
      <c r="B203" s="754" t="s">
        <v>158</v>
      </c>
      <c r="C203" s="755">
        <v>2017</v>
      </c>
      <c r="D203" s="48" t="s">
        <v>8</v>
      </c>
      <c r="E203" s="8">
        <f t="shared" si="18"/>
        <v>25000</v>
      </c>
      <c r="F203" s="8">
        <f>SUM(F204:F208)</f>
        <v>25000</v>
      </c>
      <c r="G203" s="8">
        <f>SUM(G204:G208)</f>
        <v>0</v>
      </c>
      <c r="H203" s="8">
        <f>SUM(H204:H208)</f>
        <v>0</v>
      </c>
      <c r="I203" s="8">
        <f>SUM(I204:I208)</f>
        <v>0</v>
      </c>
      <c r="J203" s="754" t="s">
        <v>159</v>
      </c>
      <c r="K203" s="757" t="s">
        <v>66</v>
      </c>
    </row>
    <row r="204" spans="1:11" s="2" customFormat="1">
      <c r="A204" s="753"/>
      <c r="B204" s="754"/>
      <c r="C204" s="755"/>
      <c r="D204" s="48">
        <v>2016</v>
      </c>
      <c r="E204" s="8">
        <f t="shared" si="18"/>
        <v>0</v>
      </c>
      <c r="F204" s="8">
        <v>0</v>
      </c>
      <c r="G204" s="9">
        <v>0</v>
      </c>
      <c r="H204" s="9">
        <v>0</v>
      </c>
      <c r="I204" s="9">
        <v>0</v>
      </c>
      <c r="J204" s="754"/>
      <c r="K204" s="757"/>
    </row>
    <row r="205" spans="1:11" s="2" customFormat="1">
      <c r="A205" s="753"/>
      <c r="B205" s="754"/>
      <c r="C205" s="755"/>
      <c r="D205" s="48">
        <v>2017</v>
      </c>
      <c r="E205" s="8">
        <f t="shared" si="18"/>
        <v>25000</v>
      </c>
      <c r="F205" s="9">
        <v>25000</v>
      </c>
      <c r="G205" s="9">
        <v>0</v>
      </c>
      <c r="H205" s="9">
        <v>0</v>
      </c>
      <c r="I205" s="9">
        <v>0</v>
      </c>
      <c r="J205" s="754"/>
      <c r="K205" s="757"/>
    </row>
    <row r="206" spans="1:11" s="2" customFormat="1">
      <c r="A206" s="753"/>
      <c r="B206" s="754"/>
      <c r="C206" s="755"/>
      <c r="D206" s="48">
        <v>2018</v>
      </c>
      <c r="E206" s="8">
        <f t="shared" si="18"/>
        <v>0</v>
      </c>
      <c r="F206" s="9">
        <v>0</v>
      </c>
      <c r="G206" s="9">
        <v>0</v>
      </c>
      <c r="H206" s="9">
        <v>0</v>
      </c>
      <c r="I206" s="9">
        <v>0</v>
      </c>
      <c r="J206" s="754"/>
      <c r="K206" s="757"/>
    </row>
    <row r="207" spans="1:11" s="2" customFormat="1">
      <c r="A207" s="753"/>
      <c r="B207" s="754"/>
      <c r="C207" s="755"/>
      <c r="D207" s="48">
        <v>2019</v>
      </c>
      <c r="E207" s="8">
        <f t="shared" si="18"/>
        <v>0</v>
      </c>
      <c r="F207" s="9">
        <v>0</v>
      </c>
      <c r="G207" s="9">
        <v>0</v>
      </c>
      <c r="H207" s="9">
        <v>0</v>
      </c>
      <c r="I207" s="9">
        <v>0</v>
      </c>
      <c r="J207" s="754"/>
      <c r="K207" s="757"/>
    </row>
    <row r="208" spans="1:11" s="2" customFormat="1">
      <c r="A208" s="753"/>
      <c r="B208" s="754"/>
      <c r="C208" s="755"/>
      <c r="D208" s="48">
        <v>2020</v>
      </c>
      <c r="E208" s="8">
        <f t="shared" si="18"/>
        <v>0</v>
      </c>
      <c r="F208" s="9">
        <v>0</v>
      </c>
      <c r="G208" s="9">
        <v>0</v>
      </c>
      <c r="H208" s="9">
        <v>0</v>
      </c>
      <c r="I208" s="9">
        <v>0</v>
      </c>
      <c r="J208" s="754"/>
      <c r="K208" s="757"/>
    </row>
    <row r="209" spans="1:11" s="2" customFormat="1" ht="15" customHeight="1">
      <c r="A209" s="820" t="s">
        <v>76</v>
      </c>
      <c r="B209" s="757" t="s">
        <v>77</v>
      </c>
      <c r="C209" s="755" t="s">
        <v>14</v>
      </c>
      <c r="D209" s="48" t="s">
        <v>8</v>
      </c>
      <c r="E209" s="8">
        <f t="shared" si="17"/>
        <v>1646947.95</v>
      </c>
      <c r="F209" s="8">
        <f>SUM(F210:F214)</f>
        <v>976373.65</v>
      </c>
      <c r="G209" s="8">
        <f>SUM(G210:G214)</f>
        <v>245565.8</v>
      </c>
      <c r="H209" s="8">
        <f>SUM(H210:H214)</f>
        <v>389208.5</v>
      </c>
      <c r="I209" s="8">
        <f>SUM(I210:I214)</f>
        <v>35800</v>
      </c>
      <c r="J209" s="756"/>
      <c r="K209" s="757" t="s">
        <v>78</v>
      </c>
    </row>
    <row r="210" spans="1:11" s="2" customFormat="1">
      <c r="A210" s="820"/>
      <c r="B210" s="757"/>
      <c r="C210" s="755"/>
      <c r="D210" s="48">
        <v>2016</v>
      </c>
      <c r="E210" s="8">
        <f>F210+G210+H210+I210</f>
        <v>165142.70000000001</v>
      </c>
      <c r="F210" s="8">
        <f t="shared" ref="F210:I214" si="19">F216+F294</f>
        <v>112036</v>
      </c>
      <c r="G210" s="8">
        <f t="shared" si="19"/>
        <v>11357.5</v>
      </c>
      <c r="H210" s="8">
        <f t="shared" si="19"/>
        <v>20949.2</v>
      </c>
      <c r="I210" s="8">
        <f t="shared" si="19"/>
        <v>20800</v>
      </c>
      <c r="J210" s="756"/>
      <c r="K210" s="757"/>
    </row>
    <row r="211" spans="1:11" s="2" customFormat="1">
      <c r="A211" s="820"/>
      <c r="B211" s="757"/>
      <c r="C211" s="755"/>
      <c r="D211" s="48">
        <v>2017</v>
      </c>
      <c r="E211" s="8">
        <f>F211+G211+H211+I211</f>
        <v>229531.3</v>
      </c>
      <c r="F211" s="8">
        <f t="shared" si="19"/>
        <v>135945</v>
      </c>
      <c r="G211" s="8">
        <f t="shared" si="19"/>
        <v>11265.5</v>
      </c>
      <c r="H211" s="8">
        <f t="shared" si="19"/>
        <v>67320.800000000003</v>
      </c>
      <c r="I211" s="8">
        <f t="shared" si="19"/>
        <v>15000</v>
      </c>
      <c r="J211" s="756"/>
      <c r="K211" s="757"/>
    </row>
    <row r="212" spans="1:11" s="2" customFormat="1">
      <c r="A212" s="820"/>
      <c r="B212" s="757"/>
      <c r="C212" s="755"/>
      <c r="D212" s="48">
        <v>2018</v>
      </c>
      <c r="E212" s="8">
        <f>F212+G212+H212+I212</f>
        <v>483334.45</v>
      </c>
      <c r="F212" s="8">
        <f t="shared" si="19"/>
        <v>305993.65000000002</v>
      </c>
      <c r="G212" s="8">
        <f t="shared" si="19"/>
        <v>0</v>
      </c>
      <c r="H212" s="8">
        <f t="shared" si="19"/>
        <v>177340.79999999999</v>
      </c>
      <c r="I212" s="8">
        <f t="shared" si="19"/>
        <v>0</v>
      </c>
      <c r="J212" s="756"/>
      <c r="K212" s="757"/>
    </row>
    <row r="213" spans="1:11" s="2" customFormat="1">
      <c r="A213" s="820"/>
      <c r="B213" s="757"/>
      <c r="C213" s="755"/>
      <c r="D213" s="48">
        <v>2019</v>
      </c>
      <c r="E213" s="8">
        <f>F213+G213+H213+I213</f>
        <v>412774.50000000006</v>
      </c>
      <c r="F213" s="8">
        <f t="shared" si="19"/>
        <v>225710.40000000002</v>
      </c>
      <c r="G213" s="8">
        <f t="shared" si="19"/>
        <v>111471.4</v>
      </c>
      <c r="H213" s="8">
        <f t="shared" si="19"/>
        <v>75592.7</v>
      </c>
      <c r="I213" s="8">
        <f t="shared" si="19"/>
        <v>0</v>
      </c>
      <c r="J213" s="756"/>
      <c r="K213" s="757"/>
    </row>
    <row r="214" spans="1:11" s="2" customFormat="1">
      <c r="A214" s="820"/>
      <c r="B214" s="757"/>
      <c r="C214" s="755"/>
      <c r="D214" s="48">
        <v>2020</v>
      </c>
      <c r="E214" s="8">
        <f>F214+G214+H214+I214</f>
        <v>356165</v>
      </c>
      <c r="F214" s="8">
        <f t="shared" si="19"/>
        <v>196688.6</v>
      </c>
      <c r="G214" s="8">
        <f t="shared" si="19"/>
        <v>111471.4</v>
      </c>
      <c r="H214" s="8">
        <f t="shared" si="19"/>
        <v>48005</v>
      </c>
      <c r="I214" s="8">
        <f t="shared" si="19"/>
        <v>0</v>
      </c>
      <c r="J214" s="756"/>
      <c r="K214" s="757"/>
    </row>
    <row r="215" spans="1:11" s="2" customFormat="1" ht="15.95" customHeight="1">
      <c r="A215" s="753" t="s">
        <v>178</v>
      </c>
      <c r="B215" s="754" t="s">
        <v>80</v>
      </c>
      <c r="C215" s="755" t="s">
        <v>14</v>
      </c>
      <c r="D215" s="48" t="s">
        <v>8</v>
      </c>
      <c r="E215" s="8">
        <f t="shared" ref="E215:E220" si="20">SUM(F215:I215)</f>
        <v>1251563.1500000001</v>
      </c>
      <c r="F215" s="8">
        <f>SUM(F216:F220)</f>
        <v>729171.45000000007</v>
      </c>
      <c r="G215" s="8">
        <f>SUM(G216:G219)</f>
        <v>111471.4</v>
      </c>
      <c r="H215" s="8">
        <f>SUM(H216:H220)</f>
        <v>375120.3</v>
      </c>
      <c r="I215" s="8">
        <f>SUM(I216:I219)</f>
        <v>35800</v>
      </c>
      <c r="J215" s="756" t="s">
        <v>81</v>
      </c>
      <c r="K215" s="757" t="s">
        <v>82</v>
      </c>
    </row>
    <row r="216" spans="1:11" s="2" customFormat="1" ht="15.95" customHeight="1">
      <c r="A216" s="753"/>
      <c r="B216" s="754"/>
      <c r="C216" s="755"/>
      <c r="D216" s="48">
        <v>2016</v>
      </c>
      <c r="E216" s="8">
        <f t="shared" si="20"/>
        <v>76401.7</v>
      </c>
      <c r="F216" s="8">
        <f t="shared" ref="F216:I220" si="21">SUM(F222,F228,F234,F240,F246,F252,F258,F264,F270,F276,F282,F288)</f>
        <v>38301.699999999997</v>
      </c>
      <c r="G216" s="8">
        <f t="shared" si="21"/>
        <v>0</v>
      </c>
      <c r="H216" s="8">
        <f t="shared" si="21"/>
        <v>17300</v>
      </c>
      <c r="I216" s="8">
        <f t="shared" si="21"/>
        <v>20800</v>
      </c>
      <c r="J216" s="756"/>
      <c r="K216" s="757"/>
    </row>
    <row r="217" spans="1:11" s="2" customFormat="1" ht="15.95" customHeight="1">
      <c r="A217" s="753"/>
      <c r="B217" s="754"/>
      <c r="C217" s="755"/>
      <c r="D217" s="48">
        <v>2017</v>
      </c>
      <c r="E217" s="8">
        <f t="shared" si="20"/>
        <v>165279.4</v>
      </c>
      <c r="F217" s="8">
        <f t="shared" si="21"/>
        <v>85679.4</v>
      </c>
      <c r="G217" s="8">
        <f t="shared" si="21"/>
        <v>0</v>
      </c>
      <c r="H217" s="8">
        <f t="shared" si="21"/>
        <v>64600</v>
      </c>
      <c r="I217" s="8">
        <f t="shared" si="21"/>
        <v>15000</v>
      </c>
      <c r="J217" s="756"/>
      <c r="K217" s="757"/>
    </row>
    <row r="218" spans="1:11" s="2" customFormat="1" ht="15.95" customHeight="1">
      <c r="A218" s="753"/>
      <c r="B218" s="754"/>
      <c r="C218" s="755"/>
      <c r="D218" s="48">
        <v>2018</v>
      </c>
      <c r="E218" s="8">
        <f t="shared" si="20"/>
        <v>431331.15</v>
      </c>
      <c r="F218" s="8">
        <f t="shared" si="21"/>
        <v>256515.85</v>
      </c>
      <c r="G218" s="8">
        <f t="shared" si="21"/>
        <v>0</v>
      </c>
      <c r="H218" s="8">
        <f t="shared" si="21"/>
        <v>174815.3</v>
      </c>
      <c r="I218" s="8">
        <f t="shared" si="21"/>
        <v>0</v>
      </c>
      <c r="J218" s="756"/>
      <c r="K218" s="757"/>
    </row>
    <row r="219" spans="1:11" s="2" customFormat="1" ht="15.95" customHeight="1">
      <c r="A219" s="753"/>
      <c r="B219" s="754"/>
      <c r="C219" s="755"/>
      <c r="D219" s="48">
        <v>2019</v>
      </c>
      <c r="E219" s="8">
        <f t="shared" si="20"/>
        <v>339857.30000000005</v>
      </c>
      <c r="F219" s="8">
        <f t="shared" si="21"/>
        <v>157985.90000000002</v>
      </c>
      <c r="G219" s="8">
        <f t="shared" si="21"/>
        <v>111471.4</v>
      </c>
      <c r="H219" s="8">
        <f t="shared" si="21"/>
        <v>70400</v>
      </c>
      <c r="I219" s="8">
        <f t="shared" si="21"/>
        <v>0</v>
      </c>
      <c r="J219" s="756"/>
      <c r="K219" s="757"/>
    </row>
    <row r="220" spans="1:11" s="2" customFormat="1" ht="15.95" customHeight="1">
      <c r="A220" s="753"/>
      <c r="B220" s="754"/>
      <c r="C220" s="755"/>
      <c r="D220" s="48">
        <v>2020</v>
      </c>
      <c r="E220" s="8">
        <f t="shared" si="20"/>
        <v>350165</v>
      </c>
      <c r="F220" s="8">
        <f t="shared" si="21"/>
        <v>190688.6</v>
      </c>
      <c r="G220" s="8">
        <f t="shared" si="21"/>
        <v>111471.4</v>
      </c>
      <c r="H220" s="8">
        <f t="shared" si="21"/>
        <v>48005</v>
      </c>
      <c r="I220" s="8">
        <f t="shared" si="21"/>
        <v>0</v>
      </c>
      <c r="J220" s="756"/>
      <c r="K220" s="757"/>
    </row>
    <row r="221" spans="1:11" s="2" customFormat="1" ht="15" customHeight="1">
      <c r="A221" s="763" t="s">
        <v>79</v>
      </c>
      <c r="B221" s="754" t="s">
        <v>83</v>
      </c>
      <c r="C221" s="755" t="s">
        <v>160</v>
      </c>
      <c r="D221" s="48" t="s">
        <v>8</v>
      </c>
      <c r="E221" s="8">
        <f t="shared" ref="E221:E255" si="22">SUM(F221:I221)</f>
        <v>25587.5</v>
      </c>
      <c r="F221" s="8">
        <f>SUM(F222:F226)</f>
        <v>25587.5</v>
      </c>
      <c r="G221" s="8">
        <f>SUM(G222:G226)</f>
        <v>0</v>
      </c>
      <c r="H221" s="8">
        <f>SUM(H222:H226)</f>
        <v>0</v>
      </c>
      <c r="I221" s="8">
        <f>SUM(I222:I226)</f>
        <v>0</v>
      </c>
      <c r="J221" s="756" t="s">
        <v>161</v>
      </c>
      <c r="K221" s="757" t="s">
        <v>85</v>
      </c>
    </row>
    <row r="222" spans="1:11" s="2" customFormat="1">
      <c r="A222" s="753"/>
      <c r="B222" s="754"/>
      <c r="C222" s="755"/>
      <c r="D222" s="48">
        <v>2016</v>
      </c>
      <c r="E222" s="8">
        <f t="shared" si="22"/>
        <v>25587.5</v>
      </c>
      <c r="F222" s="9">
        <v>25587.5</v>
      </c>
      <c r="G222" s="9">
        <v>0</v>
      </c>
      <c r="H222" s="9">
        <v>0</v>
      </c>
      <c r="I222" s="9">
        <v>0</v>
      </c>
      <c r="J222" s="756"/>
      <c r="K222" s="757"/>
    </row>
    <row r="223" spans="1:11" s="2" customFormat="1">
      <c r="A223" s="753"/>
      <c r="B223" s="754"/>
      <c r="C223" s="755"/>
      <c r="D223" s="48">
        <v>2017</v>
      </c>
      <c r="E223" s="8">
        <f t="shared" si="22"/>
        <v>0</v>
      </c>
      <c r="F223" s="9">
        <v>0</v>
      </c>
      <c r="G223" s="9">
        <v>0</v>
      </c>
      <c r="H223" s="9">
        <v>0</v>
      </c>
      <c r="I223" s="9">
        <v>0</v>
      </c>
      <c r="J223" s="756"/>
      <c r="K223" s="757"/>
    </row>
    <row r="224" spans="1:11" s="2" customFormat="1">
      <c r="A224" s="753"/>
      <c r="B224" s="754"/>
      <c r="C224" s="755"/>
      <c r="D224" s="48">
        <v>2018</v>
      </c>
      <c r="E224" s="8">
        <f t="shared" si="22"/>
        <v>0</v>
      </c>
      <c r="F224" s="9">
        <v>0</v>
      </c>
      <c r="G224" s="9">
        <v>0</v>
      </c>
      <c r="H224" s="9">
        <v>0</v>
      </c>
      <c r="I224" s="9">
        <v>0</v>
      </c>
      <c r="J224" s="756"/>
      <c r="K224" s="757"/>
    </row>
    <row r="225" spans="1:11" s="2" customFormat="1">
      <c r="A225" s="753"/>
      <c r="B225" s="754"/>
      <c r="C225" s="755"/>
      <c r="D225" s="48">
        <v>2019</v>
      </c>
      <c r="E225" s="8">
        <f>SUM(F225:I225)</f>
        <v>0</v>
      </c>
      <c r="F225" s="9">
        <v>0</v>
      </c>
      <c r="G225" s="9">
        <v>0</v>
      </c>
      <c r="H225" s="9">
        <v>0</v>
      </c>
      <c r="I225" s="9">
        <v>0</v>
      </c>
      <c r="J225" s="756"/>
      <c r="K225" s="757"/>
    </row>
    <row r="226" spans="1:11" s="2" customFormat="1">
      <c r="A226" s="753"/>
      <c r="B226" s="754"/>
      <c r="C226" s="755"/>
      <c r="D226" s="48">
        <v>2020</v>
      </c>
      <c r="E226" s="8">
        <f>SUM(F226:I226)</f>
        <v>0</v>
      </c>
      <c r="F226" s="9">
        <v>0</v>
      </c>
      <c r="G226" s="9">
        <v>0</v>
      </c>
      <c r="H226" s="9">
        <v>0</v>
      </c>
      <c r="I226" s="9">
        <v>0</v>
      </c>
      <c r="J226" s="756"/>
      <c r="K226" s="757"/>
    </row>
    <row r="227" spans="1:11" s="10" customFormat="1" ht="13.5" customHeight="1">
      <c r="A227" s="763" t="s">
        <v>215</v>
      </c>
      <c r="B227" s="754" t="s">
        <v>216</v>
      </c>
      <c r="C227" s="755" t="s">
        <v>86</v>
      </c>
      <c r="D227" s="44" t="s">
        <v>8</v>
      </c>
      <c r="E227" s="8">
        <f t="shared" si="22"/>
        <v>21750</v>
      </c>
      <c r="F227" s="8">
        <f>SUM(F228:F232)</f>
        <v>21750</v>
      </c>
      <c r="G227" s="8">
        <f>SUM(G228:G232)</f>
        <v>0</v>
      </c>
      <c r="H227" s="8">
        <f>SUM(H228:H232)</f>
        <v>0</v>
      </c>
      <c r="I227" s="8">
        <f>SUM(I228:I232)</f>
        <v>0</v>
      </c>
      <c r="J227" s="756" t="s">
        <v>87</v>
      </c>
      <c r="K227" s="757" t="s">
        <v>26</v>
      </c>
    </row>
    <row r="228" spans="1:11" s="10" customFormat="1" ht="13.5" customHeight="1">
      <c r="A228" s="753"/>
      <c r="B228" s="754"/>
      <c r="C228" s="755"/>
      <c r="D228" s="44">
        <v>2016</v>
      </c>
      <c r="E228" s="8">
        <f t="shared" si="22"/>
        <v>3750</v>
      </c>
      <c r="F228" s="11">
        <v>3750</v>
      </c>
      <c r="G228" s="9">
        <v>0</v>
      </c>
      <c r="H228" s="9">
        <v>0</v>
      </c>
      <c r="I228" s="9">
        <v>0</v>
      </c>
      <c r="J228" s="756"/>
      <c r="K228" s="757"/>
    </row>
    <row r="229" spans="1:11" s="10" customFormat="1" ht="13.5" customHeight="1">
      <c r="A229" s="753"/>
      <c r="B229" s="754"/>
      <c r="C229" s="755"/>
      <c r="D229" s="44">
        <v>2017</v>
      </c>
      <c r="E229" s="8">
        <f t="shared" si="22"/>
        <v>4500</v>
      </c>
      <c r="F229" s="11">
        <v>4500</v>
      </c>
      <c r="G229" s="9">
        <v>0</v>
      </c>
      <c r="H229" s="9">
        <v>0</v>
      </c>
      <c r="I229" s="9">
        <v>0</v>
      </c>
      <c r="J229" s="756"/>
      <c r="K229" s="757"/>
    </row>
    <row r="230" spans="1:11" s="12" customFormat="1" ht="14.25" customHeight="1">
      <c r="A230" s="753"/>
      <c r="B230" s="754"/>
      <c r="C230" s="755"/>
      <c r="D230" s="44">
        <v>2018</v>
      </c>
      <c r="E230" s="8">
        <f t="shared" si="22"/>
        <v>4500</v>
      </c>
      <c r="F230" s="11">
        <v>4500</v>
      </c>
      <c r="G230" s="9">
        <v>0</v>
      </c>
      <c r="H230" s="9">
        <v>0</v>
      </c>
      <c r="I230" s="9">
        <v>0</v>
      </c>
      <c r="J230" s="756"/>
      <c r="K230" s="757"/>
    </row>
    <row r="231" spans="1:11" s="12" customFormat="1" ht="14.25" customHeight="1">
      <c r="A231" s="753"/>
      <c r="B231" s="754"/>
      <c r="C231" s="755"/>
      <c r="D231" s="44">
        <v>2019</v>
      </c>
      <c r="E231" s="8">
        <f>SUM(F231:I231)</f>
        <v>4500</v>
      </c>
      <c r="F231" s="11">
        <v>4500</v>
      </c>
      <c r="G231" s="9">
        <v>0</v>
      </c>
      <c r="H231" s="9">
        <v>0</v>
      </c>
      <c r="I231" s="9">
        <v>0</v>
      </c>
      <c r="J231" s="756"/>
      <c r="K231" s="757"/>
    </row>
    <row r="232" spans="1:11" s="12" customFormat="1" ht="14.25" customHeight="1">
      <c r="A232" s="753"/>
      <c r="B232" s="754"/>
      <c r="C232" s="755"/>
      <c r="D232" s="44">
        <v>2020</v>
      </c>
      <c r="E232" s="8">
        <f>SUM(F232:I232)</f>
        <v>4500</v>
      </c>
      <c r="F232" s="11">
        <v>4500</v>
      </c>
      <c r="G232" s="9">
        <v>0</v>
      </c>
      <c r="H232" s="9">
        <v>0</v>
      </c>
      <c r="I232" s="9">
        <v>0</v>
      </c>
      <c r="J232" s="756"/>
      <c r="K232" s="757"/>
    </row>
    <row r="233" spans="1:11" s="10" customFormat="1" ht="14.25" customHeight="1">
      <c r="A233" s="753" t="s">
        <v>217</v>
      </c>
      <c r="B233" s="754" t="s">
        <v>88</v>
      </c>
      <c r="C233" s="755" t="s">
        <v>162</v>
      </c>
      <c r="D233" s="44" t="s">
        <v>8</v>
      </c>
      <c r="E233" s="8">
        <f t="shared" si="22"/>
        <v>48012.05</v>
      </c>
      <c r="F233" s="8">
        <f>SUM(F234:F238)</f>
        <v>48012.05</v>
      </c>
      <c r="G233" s="8">
        <f>SUM(G234:G238)</f>
        <v>0</v>
      </c>
      <c r="H233" s="8">
        <f>SUM(H234:H238)</f>
        <v>0</v>
      </c>
      <c r="I233" s="8">
        <f>SUM(I234:I238)</f>
        <v>0</v>
      </c>
      <c r="J233" s="756" t="s">
        <v>170</v>
      </c>
      <c r="K233" s="757" t="s">
        <v>89</v>
      </c>
    </row>
    <row r="234" spans="1:11" s="10" customFormat="1" ht="13.5" customHeight="1">
      <c r="A234" s="753"/>
      <c r="B234" s="754"/>
      <c r="C234" s="755"/>
      <c r="D234" s="44">
        <v>2016</v>
      </c>
      <c r="E234" s="8">
        <f t="shared" si="22"/>
        <v>1866</v>
      </c>
      <c r="F234" s="9">
        <v>1866</v>
      </c>
      <c r="G234" s="9">
        <v>0</v>
      </c>
      <c r="H234" s="9">
        <v>0</v>
      </c>
      <c r="I234" s="9">
        <v>0</v>
      </c>
      <c r="J234" s="756"/>
      <c r="K234" s="757"/>
    </row>
    <row r="235" spans="1:11" s="10" customFormat="1" ht="13.5" customHeight="1">
      <c r="A235" s="753"/>
      <c r="B235" s="754"/>
      <c r="C235" s="755"/>
      <c r="D235" s="44">
        <v>2017</v>
      </c>
      <c r="E235" s="8">
        <f t="shared" si="22"/>
        <v>99</v>
      </c>
      <c r="F235" s="9">
        <v>99</v>
      </c>
      <c r="G235" s="9">
        <v>0</v>
      </c>
      <c r="H235" s="9">
        <v>0</v>
      </c>
      <c r="I235" s="9">
        <v>0</v>
      </c>
      <c r="J235" s="756"/>
      <c r="K235" s="757"/>
    </row>
    <row r="236" spans="1:11" s="12" customFormat="1" ht="14.25" customHeight="1">
      <c r="A236" s="753"/>
      <c r="B236" s="754"/>
      <c r="C236" s="755"/>
      <c r="D236" s="44">
        <v>2018</v>
      </c>
      <c r="E236" s="8">
        <f t="shared" si="22"/>
        <v>31489.75</v>
      </c>
      <c r="F236" s="9">
        <v>31489.75</v>
      </c>
      <c r="G236" s="9">
        <v>0</v>
      </c>
      <c r="H236" s="9">
        <v>0</v>
      </c>
      <c r="I236" s="9">
        <v>0</v>
      </c>
      <c r="J236" s="756"/>
      <c r="K236" s="757"/>
    </row>
    <row r="237" spans="1:11" s="12" customFormat="1" ht="14.25" customHeight="1">
      <c r="A237" s="753"/>
      <c r="B237" s="754"/>
      <c r="C237" s="755"/>
      <c r="D237" s="44">
        <v>2019</v>
      </c>
      <c r="E237" s="8">
        <f>SUM(F237:I237)</f>
        <v>14557.3</v>
      </c>
      <c r="F237" s="9">
        <v>14557.3</v>
      </c>
      <c r="G237" s="9">
        <v>0</v>
      </c>
      <c r="H237" s="9">
        <v>0</v>
      </c>
      <c r="I237" s="9">
        <v>0</v>
      </c>
      <c r="J237" s="756"/>
      <c r="K237" s="757"/>
    </row>
    <row r="238" spans="1:11" s="12" customFormat="1" ht="14.25" customHeight="1">
      <c r="A238" s="753"/>
      <c r="B238" s="754"/>
      <c r="C238" s="755"/>
      <c r="D238" s="44">
        <v>2020</v>
      </c>
      <c r="E238" s="8">
        <f>SUM(F238:I238)</f>
        <v>0</v>
      </c>
      <c r="F238" s="9">
        <v>0</v>
      </c>
      <c r="G238" s="9">
        <v>0</v>
      </c>
      <c r="H238" s="9">
        <v>0</v>
      </c>
      <c r="I238" s="9">
        <v>0</v>
      </c>
      <c r="J238" s="756"/>
      <c r="K238" s="757"/>
    </row>
    <row r="239" spans="1:11" s="10" customFormat="1" ht="13.5" customHeight="1">
      <c r="A239" s="753" t="s">
        <v>218</v>
      </c>
      <c r="B239" s="754" t="s">
        <v>219</v>
      </c>
      <c r="C239" s="755" t="s">
        <v>152</v>
      </c>
      <c r="D239" s="48" t="s">
        <v>8</v>
      </c>
      <c r="E239" s="8">
        <f t="shared" si="22"/>
        <v>192414</v>
      </c>
      <c r="F239" s="8">
        <f>SUM(F240:F244)</f>
        <v>101232.7</v>
      </c>
      <c r="G239" s="8">
        <f>SUM(G240:G244)</f>
        <v>0</v>
      </c>
      <c r="H239" s="8">
        <f>SUM(H240:H244)</f>
        <v>91181.3</v>
      </c>
      <c r="I239" s="8">
        <f>SUM(I240:I244)</f>
        <v>0</v>
      </c>
      <c r="J239" s="756" t="s">
        <v>171</v>
      </c>
      <c r="K239" s="757" t="s">
        <v>90</v>
      </c>
    </row>
    <row r="240" spans="1:11" s="10" customFormat="1" ht="13.5" customHeight="1">
      <c r="A240" s="753"/>
      <c r="B240" s="754"/>
      <c r="C240" s="755"/>
      <c r="D240" s="48">
        <v>2016</v>
      </c>
      <c r="E240" s="8">
        <f t="shared" si="22"/>
        <v>4600</v>
      </c>
      <c r="F240" s="9">
        <v>2300</v>
      </c>
      <c r="G240" s="9">
        <v>0</v>
      </c>
      <c r="H240" s="9">
        <v>2300</v>
      </c>
      <c r="I240" s="9">
        <v>0</v>
      </c>
      <c r="J240" s="756"/>
      <c r="K240" s="757"/>
    </row>
    <row r="241" spans="1:11" s="10" customFormat="1" ht="13.5" customHeight="1">
      <c r="A241" s="753"/>
      <c r="B241" s="754"/>
      <c r="C241" s="755"/>
      <c r="D241" s="48">
        <v>2017</v>
      </c>
      <c r="E241" s="8">
        <f t="shared" si="22"/>
        <v>40000</v>
      </c>
      <c r="F241" s="9">
        <v>20000</v>
      </c>
      <c r="G241" s="9">
        <v>0</v>
      </c>
      <c r="H241" s="9">
        <v>20000</v>
      </c>
      <c r="I241" s="9">
        <v>0</v>
      </c>
      <c r="J241" s="756"/>
      <c r="K241" s="757"/>
    </row>
    <row r="242" spans="1:11" s="12" customFormat="1" ht="14.25" customHeight="1">
      <c r="A242" s="753"/>
      <c r="B242" s="754"/>
      <c r="C242" s="755"/>
      <c r="D242" s="48">
        <v>2018</v>
      </c>
      <c r="E242" s="8">
        <f t="shared" si="22"/>
        <v>46814</v>
      </c>
      <c r="F242" s="9">
        <v>24998.7</v>
      </c>
      <c r="G242" s="9">
        <v>0</v>
      </c>
      <c r="H242" s="9">
        <v>21815.3</v>
      </c>
      <c r="I242" s="9">
        <v>0</v>
      </c>
      <c r="J242" s="756"/>
      <c r="K242" s="757"/>
    </row>
    <row r="243" spans="1:11" s="12" customFormat="1" ht="14.25" customHeight="1">
      <c r="A243" s="753"/>
      <c r="B243" s="754"/>
      <c r="C243" s="755"/>
      <c r="D243" s="48">
        <v>2019</v>
      </c>
      <c r="E243" s="8">
        <f t="shared" si="22"/>
        <v>0</v>
      </c>
      <c r="F243" s="9">
        <v>0</v>
      </c>
      <c r="G243" s="9">
        <v>0</v>
      </c>
      <c r="H243" s="9">
        <v>0</v>
      </c>
      <c r="I243" s="9">
        <v>0</v>
      </c>
      <c r="J243" s="756"/>
      <c r="K243" s="757"/>
    </row>
    <row r="244" spans="1:11" s="12" customFormat="1" ht="14.25" customHeight="1">
      <c r="A244" s="753"/>
      <c r="B244" s="754"/>
      <c r="C244" s="755"/>
      <c r="D244" s="48">
        <v>2020</v>
      </c>
      <c r="E244" s="8">
        <f t="shared" si="22"/>
        <v>101000</v>
      </c>
      <c r="F244" s="9">
        <v>53934</v>
      </c>
      <c r="G244" s="9">
        <v>0</v>
      </c>
      <c r="H244" s="9">
        <v>47066</v>
      </c>
      <c r="I244" s="9">
        <v>0</v>
      </c>
      <c r="J244" s="756"/>
      <c r="K244" s="757"/>
    </row>
    <row r="245" spans="1:11" s="10" customFormat="1" ht="13.5" customHeight="1">
      <c r="A245" s="753" t="s">
        <v>220</v>
      </c>
      <c r="B245" s="754" t="s">
        <v>91</v>
      </c>
      <c r="C245" s="755" t="s">
        <v>30</v>
      </c>
      <c r="D245" s="48" t="s">
        <v>8</v>
      </c>
      <c r="E245" s="8">
        <f t="shared" si="22"/>
        <v>47000</v>
      </c>
      <c r="F245" s="8">
        <f>SUM(F246:F250)</f>
        <v>0</v>
      </c>
      <c r="G245" s="8">
        <f>SUM(G246:G250)</f>
        <v>0</v>
      </c>
      <c r="H245" s="8">
        <f>SUM(H246:H250)</f>
        <v>22000</v>
      </c>
      <c r="I245" s="8">
        <f>SUM(I246:I250)</f>
        <v>25000</v>
      </c>
      <c r="J245" s="756" t="s">
        <v>92</v>
      </c>
      <c r="K245" s="757" t="s">
        <v>93</v>
      </c>
    </row>
    <row r="246" spans="1:11" s="10" customFormat="1" ht="13.5" customHeight="1">
      <c r="A246" s="753"/>
      <c r="B246" s="754"/>
      <c r="C246" s="755"/>
      <c r="D246" s="48">
        <v>2016</v>
      </c>
      <c r="E246" s="8">
        <f t="shared" si="22"/>
        <v>25000</v>
      </c>
      <c r="F246" s="9">
        <v>0</v>
      </c>
      <c r="G246" s="9">
        <v>0</v>
      </c>
      <c r="H246" s="9">
        <v>15000</v>
      </c>
      <c r="I246" s="9">
        <v>10000</v>
      </c>
      <c r="J246" s="756"/>
      <c r="K246" s="757"/>
    </row>
    <row r="247" spans="1:11" s="10" customFormat="1" ht="13.5" customHeight="1">
      <c r="A247" s="753"/>
      <c r="B247" s="754"/>
      <c r="C247" s="755"/>
      <c r="D247" s="48">
        <v>2017</v>
      </c>
      <c r="E247" s="8">
        <f t="shared" si="22"/>
        <v>22000</v>
      </c>
      <c r="F247" s="9">
        <v>0</v>
      </c>
      <c r="G247" s="9">
        <v>0</v>
      </c>
      <c r="H247" s="9">
        <v>7000</v>
      </c>
      <c r="I247" s="9">
        <v>15000</v>
      </c>
      <c r="J247" s="756"/>
      <c r="K247" s="757"/>
    </row>
    <row r="248" spans="1:11" s="12" customFormat="1" ht="14.25" customHeight="1">
      <c r="A248" s="753"/>
      <c r="B248" s="754"/>
      <c r="C248" s="755"/>
      <c r="D248" s="48">
        <v>2018</v>
      </c>
      <c r="E248" s="8">
        <f t="shared" si="22"/>
        <v>0</v>
      </c>
      <c r="F248" s="9">
        <v>0</v>
      </c>
      <c r="G248" s="9">
        <v>0</v>
      </c>
      <c r="H248" s="9">
        <v>0</v>
      </c>
      <c r="I248" s="9">
        <v>0</v>
      </c>
      <c r="J248" s="756"/>
      <c r="K248" s="757"/>
    </row>
    <row r="249" spans="1:11" s="12" customFormat="1" ht="14.25" customHeight="1">
      <c r="A249" s="753"/>
      <c r="B249" s="754"/>
      <c r="C249" s="755"/>
      <c r="D249" s="48">
        <v>2019</v>
      </c>
      <c r="E249" s="8">
        <f t="shared" si="22"/>
        <v>0</v>
      </c>
      <c r="F249" s="9">
        <v>0</v>
      </c>
      <c r="G249" s="9">
        <v>0</v>
      </c>
      <c r="H249" s="9">
        <v>0</v>
      </c>
      <c r="I249" s="9">
        <v>0</v>
      </c>
      <c r="J249" s="756"/>
      <c r="K249" s="757"/>
    </row>
    <row r="250" spans="1:11" s="12" customFormat="1" ht="14.25" customHeight="1">
      <c r="A250" s="753"/>
      <c r="B250" s="754"/>
      <c r="C250" s="755"/>
      <c r="D250" s="48">
        <v>2020</v>
      </c>
      <c r="E250" s="8">
        <f>SUM(F250:I250)</f>
        <v>0</v>
      </c>
      <c r="F250" s="9">
        <v>0</v>
      </c>
      <c r="G250" s="9">
        <v>0</v>
      </c>
      <c r="H250" s="9">
        <v>0</v>
      </c>
      <c r="I250" s="9">
        <v>0</v>
      </c>
      <c r="J250" s="756"/>
      <c r="K250" s="757"/>
    </row>
    <row r="251" spans="1:11" s="10" customFormat="1" ht="13.5" customHeight="1">
      <c r="A251" s="753" t="s">
        <v>221</v>
      </c>
      <c r="B251" s="754" t="s">
        <v>94</v>
      </c>
      <c r="C251" s="755" t="s">
        <v>95</v>
      </c>
      <c r="D251" s="48" t="s">
        <v>8</v>
      </c>
      <c r="E251" s="8">
        <f t="shared" si="22"/>
        <v>4798.2</v>
      </c>
      <c r="F251" s="8">
        <f>SUM(F252:F256)</f>
        <v>4798.2</v>
      </c>
      <c r="G251" s="8">
        <f>SUM(G252:G256)</f>
        <v>0</v>
      </c>
      <c r="H251" s="8">
        <f>SUM(H252:H256)</f>
        <v>0</v>
      </c>
      <c r="I251" s="8">
        <f>SUM(I252:I256)</f>
        <v>0</v>
      </c>
      <c r="J251" s="756" t="s">
        <v>96</v>
      </c>
      <c r="K251" s="757" t="s">
        <v>89</v>
      </c>
    </row>
    <row r="252" spans="1:11" s="10" customFormat="1" ht="13.5" customHeight="1">
      <c r="A252" s="753"/>
      <c r="B252" s="754"/>
      <c r="C252" s="755"/>
      <c r="D252" s="48">
        <v>2016</v>
      </c>
      <c r="E252" s="8">
        <f t="shared" si="22"/>
        <v>4798.2</v>
      </c>
      <c r="F252" s="9">
        <v>4798.2</v>
      </c>
      <c r="G252" s="9">
        <v>0</v>
      </c>
      <c r="H252" s="9">
        <v>0</v>
      </c>
      <c r="I252" s="9">
        <v>0</v>
      </c>
      <c r="J252" s="756"/>
      <c r="K252" s="757"/>
    </row>
    <row r="253" spans="1:11" s="10" customFormat="1" ht="13.5" customHeight="1">
      <c r="A253" s="753"/>
      <c r="B253" s="754"/>
      <c r="C253" s="755"/>
      <c r="D253" s="48">
        <v>2017</v>
      </c>
      <c r="E253" s="8">
        <f t="shared" si="22"/>
        <v>0</v>
      </c>
      <c r="F253" s="9">
        <v>0</v>
      </c>
      <c r="G253" s="9">
        <v>0</v>
      </c>
      <c r="H253" s="9">
        <v>0</v>
      </c>
      <c r="I253" s="9">
        <v>0</v>
      </c>
      <c r="J253" s="756"/>
      <c r="K253" s="757"/>
    </row>
    <row r="254" spans="1:11" s="12" customFormat="1" ht="14.25" customHeight="1">
      <c r="A254" s="753"/>
      <c r="B254" s="754"/>
      <c r="C254" s="755"/>
      <c r="D254" s="48">
        <v>2018</v>
      </c>
      <c r="E254" s="8">
        <f t="shared" si="22"/>
        <v>0</v>
      </c>
      <c r="F254" s="9">
        <v>0</v>
      </c>
      <c r="G254" s="9">
        <v>0</v>
      </c>
      <c r="H254" s="9">
        <v>0</v>
      </c>
      <c r="I254" s="9">
        <v>0</v>
      </c>
      <c r="J254" s="756"/>
      <c r="K254" s="757"/>
    </row>
    <row r="255" spans="1:11" s="12" customFormat="1" ht="14.25" customHeight="1">
      <c r="A255" s="753"/>
      <c r="B255" s="754"/>
      <c r="C255" s="755"/>
      <c r="D255" s="48">
        <v>2019</v>
      </c>
      <c r="E255" s="8">
        <f t="shared" si="22"/>
        <v>0</v>
      </c>
      <c r="F255" s="9">
        <v>0</v>
      </c>
      <c r="G255" s="9">
        <v>0</v>
      </c>
      <c r="H255" s="9">
        <v>0</v>
      </c>
      <c r="I255" s="9">
        <v>0</v>
      </c>
      <c r="J255" s="756"/>
      <c r="K255" s="757"/>
    </row>
    <row r="256" spans="1:11" s="12" customFormat="1" ht="14.25" customHeight="1">
      <c r="A256" s="753"/>
      <c r="B256" s="754"/>
      <c r="C256" s="755"/>
      <c r="D256" s="48">
        <v>2020</v>
      </c>
      <c r="E256" s="8">
        <f>SUM(F256:I256)</f>
        <v>0</v>
      </c>
      <c r="F256" s="9">
        <v>0</v>
      </c>
      <c r="G256" s="9">
        <v>0</v>
      </c>
      <c r="H256" s="9">
        <v>0</v>
      </c>
      <c r="I256" s="9">
        <v>0</v>
      </c>
      <c r="J256" s="756"/>
      <c r="K256" s="757"/>
    </row>
    <row r="257" spans="1:11" s="10" customFormat="1" ht="19.5" customHeight="1">
      <c r="A257" s="753" t="s">
        <v>222</v>
      </c>
      <c r="B257" s="754" t="s">
        <v>145</v>
      </c>
      <c r="C257" s="755" t="s">
        <v>223</v>
      </c>
      <c r="D257" s="44" t="s">
        <v>8</v>
      </c>
      <c r="E257" s="8">
        <f t="shared" ref="E257:E293" si="23">SUM(F257:I257)</f>
        <v>445885.6</v>
      </c>
      <c r="F257" s="8">
        <f>SUM(F258:F262)</f>
        <v>222942.8</v>
      </c>
      <c r="G257" s="8">
        <f>SUM(G258:G262)</f>
        <v>222942.8</v>
      </c>
      <c r="H257" s="8">
        <f>SUM(H258:H262)</f>
        <v>0</v>
      </c>
      <c r="I257" s="8">
        <f>SUM(I258:I262)</f>
        <v>0</v>
      </c>
      <c r="J257" s="756" t="s">
        <v>224</v>
      </c>
      <c r="K257" s="757" t="s">
        <v>89</v>
      </c>
    </row>
    <row r="258" spans="1:11" s="10" customFormat="1" ht="19.5" customHeight="1">
      <c r="A258" s="753"/>
      <c r="B258" s="754"/>
      <c r="C258" s="755"/>
      <c r="D258" s="44">
        <v>2016</v>
      </c>
      <c r="E258" s="8">
        <f t="shared" si="23"/>
        <v>0</v>
      </c>
      <c r="F258" s="9">
        <v>0</v>
      </c>
      <c r="G258" s="9">
        <v>0</v>
      </c>
      <c r="H258" s="9">
        <v>0</v>
      </c>
      <c r="I258" s="9">
        <v>0</v>
      </c>
      <c r="J258" s="756"/>
      <c r="K258" s="757"/>
    </row>
    <row r="259" spans="1:11" s="10" customFormat="1" ht="19.5" customHeight="1">
      <c r="A259" s="753"/>
      <c r="B259" s="754"/>
      <c r="C259" s="755"/>
      <c r="D259" s="44">
        <v>2017</v>
      </c>
      <c r="E259" s="8">
        <f t="shared" si="23"/>
        <v>0</v>
      </c>
      <c r="F259" s="9">
        <v>0</v>
      </c>
      <c r="G259" s="9">
        <v>0</v>
      </c>
      <c r="H259" s="9">
        <v>0</v>
      </c>
      <c r="I259" s="9">
        <v>0</v>
      </c>
      <c r="J259" s="756"/>
      <c r="K259" s="757"/>
    </row>
    <row r="260" spans="1:11" s="12" customFormat="1" ht="19.5" customHeight="1">
      <c r="A260" s="753"/>
      <c r="B260" s="754"/>
      <c r="C260" s="755"/>
      <c r="D260" s="44">
        <v>2018</v>
      </c>
      <c r="E260" s="8">
        <f t="shared" si="23"/>
        <v>40000</v>
      </c>
      <c r="F260" s="9">
        <v>40000</v>
      </c>
      <c r="G260" s="9">
        <v>0</v>
      </c>
      <c r="H260" s="9">
        <v>0</v>
      </c>
      <c r="I260" s="9">
        <v>0</v>
      </c>
      <c r="J260" s="756"/>
      <c r="K260" s="757"/>
    </row>
    <row r="261" spans="1:11" s="12" customFormat="1" ht="19.5" customHeight="1">
      <c r="A261" s="753"/>
      <c r="B261" s="754"/>
      <c r="C261" s="755"/>
      <c r="D261" s="44" t="s">
        <v>225</v>
      </c>
      <c r="E261" s="8">
        <f t="shared" si="23"/>
        <v>180000</v>
      </c>
      <c r="F261" s="9">
        <v>68528.600000000006</v>
      </c>
      <c r="G261" s="9">
        <v>111471.4</v>
      </c>
      <c r="H261" s="9">
        <v>0</v>
      </c>
      <c r="I261" s="9">
        <v>0</v>
      </c>
      <c r="J261" s="756"/>
      <c r="K261" s="757"/>
    </row>
    <row r="262" spans="1:11" s="12" customFormat="1" ht="19.5" customHeight="1">
      <c r="A262" s="753"/>
      <c r="B262" s="754"/>
      <c r="C262" s="755"/>
      <c r="D262" s="44" t="s">
        <v>226</v>
      </c>
      <c r="E262" s="8">
        <f>SUM(F262:I262)</f>
        <v>225885.59999999998</v>
      </c>
      <c r="F262" s="9">
        <v>114414.2</v>
      </c>
      <c r="G262" s="9">
        <v>111471.4</v>
      </c>
      <c r="H262" s="9">
        <v>0</v>
      </c>
      <c r="I262" s="9">
        <v>0</v>
      </c>
      <c r="J262" s="756"/>
      <c r="K262" s="757"/>
    </row>
    <row r="263" spans="1:11" s="10" customFormat="1" ht="13.5" customHeight="1">
      <c r="A263" s="753" t="s">
        <v>227</v>
      </c>
      <c r="B263" s="754" t="s">
        <v>97</v>
      </c>
      <c r="C263" s="755" t="s">
        <v>162</v>
      </c>
      <c r="D263" s="44" t="s">
        <v>8</v>
      </c>
      <c r="E263" s="8">
        <f t="shared" si="23"/>
        <v>532800</v>
      </c>
      <c r="F263" s="8">
        <f>SUM(F264:F268)</f>
        <v>261000</v>
      </c>
      <c r="G263" s="8">
        <f>SUM(G264:G268)</f>
        <v>0</v>
      </c>
      <c r="H263" s="8">
        <f>SUM(H264:H268)</f>
        <v>261000</v>
      </c>
      <c r="I263" s="8">
        <f>SUM(I264:I268)</f>
        <v>10800</v>
      </c>
      <c r="J263" s="756" t="s">
        <v>172</v>
      </c>
      <c r="K263" s="757" t="s">
        <v>98</v>
      </c>
    </row>
    <row r="264" spans="1:11" s="10" customFormat="1" ht="13.5" customHeight="1">
      <c r="A264" s="753"/>
      <c r="B264" s="754"/>
      <c r="C264" s="755"/>
      <c r="D264" s="44">
        <v>2016</v>
      </c>
      <c r="E264" s="8">
        <f t="shared" si="23"/>
        <v>10800</v>
      </c>
      <c r="F264" s="9">
        <v>0</v>
      </c>
      <c r="G264" s="9">
        <v>0</v>
      </c>
      <c r="H264" s="9">
        <v>0</v>
      </c>
      <c r="I264" s="9">
        <v>10800</v>
      </c>
      <c r="J264" s="756"/>
      <c r="K264" s="757"/>
    </row>
    <row r="265" spans="1:11" s="10" customFormat="1" ht="13.5" customHeight="1">
      <c r="A265" s="753"/>
      <c r="B265" s="754"/>
      <c r="C265" s="755"/>
      <c r="D265" s="44">
        <v>2017</v>
      </c>
      <c r="E265" s="8">
        <f t="shared" si="23"/>
        <v>75200</v>
      </c>
      <c r="F265" s="9">
        <v>37600</v>
      </c>
      <c r="G265" s="9">
        <v>0</v>
      </c>
      <c r="H265" s="9">
        <v>37600</v>
      </c>
      <c r="I265" s="9">
        <v>0</v>
      </c>
      <c r="J265" s="756"/>
      <c r="K265" s="757"/>
    </row>
    <row r="266" spans="1:11" s="12" customFormat="1" ht="14.25" customHeight="1">
      <c r="A266" s="753"/>
      <c r="B266" s="754"/>
      <c r="C266" s="755"/>
      <c r="D266" s="44">
        <v>2018</v>
      </c>
      <c r="E266" s="8">
        <f t="shared" si="23"/>
        <v>306000</v>
      </c>
      <c r="F266" s="9">
        <v>153000</v>
      </c>
      <c r="G266" s="9">
        <v>0</v>
      </c>
      <c r="H266" s="9">
        <v>153000</v>
      </c>
      <c r="I266" s="9">
        <v>0</v>
      </c>
      <c r="J266" s="756"/>
      <c r="K266" s="757"/>
    </row>
    <row r="267" spans="1:11" s="12" customFormat="1" ht="14.25" customHeight="1">
      <c r="A267" s="753"/>
      <c r="B267" s="754"/>
      <c r="C267" s="755"/>
      <c r="D267" s="44">
        <v>2019</v>
      </c>
      <c r="E267" s="8">
        <f t="shared" si="23"/>
        <v>140800</v>
      </c>
      <c r="F267" s="9">
        <v>70400</v>
      </c>
      <c r="G267" s="9">
        <v>0</v>
      </c>
      <c r="H267" s="9">
        <v>70400</v>
      </c>
      <c r="I267" s="9">
        <v>0</v>
      </c>
      <c r="J267" s="756"/>
      <c r="K267" s="757"/>
    </row>
    <row r="268" spans="1:11" s="12" customFormat="1" ht="14.25" customHeight="1">
      <c r="A268" s="753"/>
      <c r="B268" s="754"/>
      <c r="C268" s="755"/>
      <c r="D268" s="44">
        <v>2020</v>
      </c>
      <c r="E268" s="8">
        <f t="shared" si="23"/>
        <v>0</v>
      </c>
      <c r="F268" s="9">
        <v>0</v>
      </c>
      <c r="G268" s="9">
        <v>0</v>
      </c>
      <c r="H268" s="9">
        <v>0</v>
      </c>
      <c r="I268" s="9">
        <v>0</v>
      </c>
      <c r="J268" s="756"/>
      <c r="K268" s="757"/>
    </row>
    <row r="269" spans="1:11" s="10" customFormat="1" ht="13.5" customHeight="1">
      <c r="A269" s="753" t="s">
        <v>228</v>
      </c>
      <c r="B269" s="754" t="s">
        <v>99</v>
      </c>
      <c r="C269" s="755">
        <v>2017</v>
      </c>
      <c r="D269" s="44" t="s">
        <v>8</v>
      </c>
      <c r="E269" s="8">
        <f t="shared" si="23"/>
        <v>18567.400000000001</v>
      </c>
      <c r="F269" s="8">
        <f>SUM(F270:F274)</f>
        <v>18567.400000000001</v>
      </c>
      <c r="G269" s="8">
        <f>SUM(G270:G274)</f>
        <v>0</v>
      </c>
      <c r="H269" s="8">
        <f>SUM(H270:H274)</f>
        <v>0</v>
      </c>
      <c r="I269" s="8">
        <f>SUM(I270:I274)</f>
        <v>0</v>
      </c>
      <c r="J269" s="756" t="s">
        <v>163</v>
      </c>
      <c r="K269" s="757" t="s">
        <v>100</v>
      </c>
    </row>
    <row r="270" spans="1:11" s="10" customFormat="1" ht="13.5" customHeight="1">
      <c r="A270" s="753"/>
      <c r="B270" s="754"/>
      <c r="C270" s="755"/>
      <c r="D270" s="48">
        <v>2016</v>
      </c>
      <c r="E270" s="8">
        <f t="shared" si="23"/>
        <v>0</v>
      </c>
      <c r="F270" s="9">
        <v>0</v>
      </c>
      <c r="G270" s="9">
        <v>0</v>
      </c>
      <c r="H270" s="9">
        <v>0</v>
      </c>
      <c r="I270" s="9">
        <v>0</v>
      </c>
      <c r="J270" s="756"/>
      <c r="K270" s="757"/>
    </row>
    <row r="271" spans="1:11" s="10" customFormat="1" ht="13.5" customHeight="1">
      <c r="A271" s="753"/>
      <c r="B271" s="754"/>
      <c r="C271" s="755"/>
      <c r="D271" s="48">
        <v>2017</v>
      </c>
      <c r="E271" s="8">
        <f t="shared" si="23"/>
        <v>18567.400000000001</v>
      </c>
      <c r="F271" s="9">
        <v>18567.400000000001</v>
      </c>
      <c r="G271" s="9">
        <v>0</v>
      </c>
      <c r="H271" s="9">
        <v>0</v>
      </c>
      <c r="I271" s="9">
        <v>0</v>
      </c>
      <c r="J271" s="756"/>
      <c r="K271" s="757"/>
    </row>
    <row r="272" spans="1:11" s="12" customFormat="1" ht="14.25" customHeight="1">
      <c r="A272" s="753"/>
      <c r="B272" s="754"/>
      <c r="C272" s="755"/>
      <c r="D272" s="48">
        <v>2018</v>
      </c>
      <c r="E272" s="8">
        <f t="shared" si="23"/>
        <v>0</v>
      </c>
      <c r="F272" s="9">
        <v>0</v>
      </c>
      <c r="G272" s="9">
        <v>0</v>
      </c>
      <c r="H272" s="9">
        <v>0</v>
      </c>
      <c r="I272" s="9">
        <v>0</v>
      </c>
      <c r="J272" s="756"/>
      <c r="K272" s="757"/>
    </row>
    <row r="273" spans="1:11" s="12" customFormat="1" ht="14.25" customHeight="1">
      <c r="A273" s="753"/>
      <c r="B273" s="754"/>
      <c r="C273" s="755"/>
      <c r="D273" s="48">
        <v>2019</v>
      </c>
      <c r="E273" s="8">
        <f t="shared" si="23"/>
        <v>0</v>
      </c>
      <c r="F273" s="9">
        <v>0</v>
      </c>
      <c r="G273" s="9">
        <v>0</v>
      </c>
      <c r="H273" s="9">
        <v>0</v>
      </c>
      <c r="I273" s="9">
        <v>0</v>
      </c>
      <c r="J273" s="756"/>
      <c r="K273" s="757"/>
    </row>
    <row r="274" spans="1:11" s="12" customFormat="1" ht="14.25" customHeight="1">
      <c r="A274" s="753"/>
      <c r="B274" s="754"/>
      <c r="C274" s="755"/>
      <c r="D274" s="48">
        <v>2020</v>
      </c>
      <c r="E274" s="8">
        <f t="shared" si="23"/>
        <v>0</v>
      </c>
      <c r="F274" s="9">
        <v>0</v>
      </c>
      <c r="G274" s="9">
        <v>0</v>
      </c>
      <c r="H274" s="9">
        <v>0</v>
      </c>
      <c r="I274" s="9">
        <v>0</v>
      </c>
      <c r="J274" s="756"/>
      <c r="K274" s="757"/>
    </row>
    <row r="275" spans="1:11" s="10" customFormat="1" ht="13.5" customHeight="1">
      <c r="A275" s="753" t="s">
        <v>229</v>
      </c>
      <c r="B275" s="754" t="s">
        <v>101</v>
      </c>
      <c r="C275" s="755">
        <v>2017</v>
      </c>
      <c r="D275" s="44" t="s">
        <v>8</v>
      </c>
      <c r="E275" s="8">
        <f t="shared" si="23"/>
        <v>4913</v>
      </c>
      <c r="F275" s="8">
        <f>SUM(F276:F280)</f>
        <v>4913</v>
      </c>
      <c r="G275" s="8">
        <f>SUM(G276:G280)</f>
        <v>0</v>
      </c>
      <c r="H275" s="8">
        <f>SUM(H276:H280)</f>
        <v>0</v>
      </c>
      <c r="I275" s="8">
        <f>SUM(I276:I280)</f>
        <v>0</v>
      </c>
      <c r="J275" s="756" t="s">
        <v>163</v>
      </c>
      <c r="K275" s="757" t="s">
        <v>89</v>
      </c>
    </row>
    <row r="276" spans="1:11" s="10" customFormat="1" ht="13.5" customHeight="1">
      <c r="A276" s="753"/>
      <c r="B276" s="754"/>
      <c r="C276" s="755"/>
      <c r="D276" s="44">
        <v>2016</v>
      </c>
      <c r="E276" s="8">
        <f t="shared" si="23"/>
        <v>0</v>
      </c>
      <c r="F276" s="9">
        <v>0</v>
      </c>
      <c r="G276" s="9">
        <v>0</v>
      </c>
      <c r="H276" s="9">
        <v>0</v>
      </c>
      <c r="I276" s="9">
        <v>0</v>
      </c>
      <c r="J276" s="756"/>
      <c r="K276" s="757"/>
    </row>
    <row r="277" spans="1:11" s="10" customFormat="1" ht="13.5" customHeight="1">
      <c r="A277" s="753"/>
      <c r="B277" s="754"/>
      <c r="C277" s="755"/>
      <c r="D277" s="44">
        <v>2017</v>
      </c>
      <c r="E277" s="8">
        <f t="shared" si="23"/>
        <v>4913</v>
      </c>
      <c r="F277" s="9">
        <v>4913</v>
      </c>
      <c r="G277" s="9">
        <v>0</v>
      </c>
      <c r="H277" s="9">
        <v>0</v>
      </c>
      <c r="I277" s="9">
        <v>0</v>
      </c>
      <c r="J277" s="756"/>
      <c r="K277" s="757"/>
    </row>
    <row r="278" spans="1:11" s="12" customFormat="1" ht="14.25" customHeight="1">
      <c r="A278" s="753"/>
      <c r="B278" s="754"/>
      <c r="C278" s="755"/>
      <c r="D278" s="44">
        <v>2018</v>
      </c>
      <c r="E278" s="8">
        <f t="shared" si="23"/>
        <v>0</v>
      </c>
      <c r="F278" s="9">
        <v>0</v>
      </c>
      <c r="G278" s="9">
        <v>0</v>
      </c>
      <c r="H278" s="9">
        <v>0</v>
      </c>
      <c r="I278" s="9">
        <v>0</v>
      </c>
      <c r="J278" s="756"/>
      <c r="K278" s="757"/>
    </row>
    <row r="279" spans="1:11" s="12" customFormat="1" ht="14.25" customHeight="1">
      <c r="A279" s="753"/>
      <c r="B279" s="754"/>
      <c r="C279" s="755"/>
      <c r="D279" s="44">
        <v>2019</v>
      </c>
      <c r="E279" s="8">
        <f t="shared" si="23"/>
        <v>0</v>
      </c>
      <c r="F279" s="9">
        <v>0</v>
      </c>
      <c r="G279" s="9">
        <v>0</v>
      </c>
      <c r="H279" s="9">
        <v>0</v>
      </c>
      <c r="I279" s="9">
        <v>0</v>
      </c>
      <c r="J279" s="756"/>
      <c r="K279" s="757"/>
    </row>
    <row r="280" spans="1:11" s="12" customFormat="1" ht="14.25" customHeight="1">
      <c r="A280" s="753"/>
      <c r="B280" s="754"/>
      <c r="C280" s="755"/>
      <c r="D280" s="44">
        <v>2020</v>
      </c>
      <c r="E280" s="8">
        <f t="shared" si="23"/>
        <v>0</v>
      </c>
      <c r="F280" s="9">
        <v>0</v>
      </c>
      <c r="G280" s="9">
        <v>0</v>
      </c>
      <c r="H280" s="9">
        <v>0</v>
      </c>
      <c r="I280" s="9">
        <v>0</v>
      </c>
      <c r="J280" s="756"/>
      <c r="K280" s="757"/>
    </row>
    <row r="281" spans="1:11" s="10" customFormat="1" ht="13.5" customHeight="1">
      <c r="A281" s="753" t="s">
        <v>230</v>
      </c>
      <c r="B281" s="754" t="s">
        <v>231</v>
      </c>
      <c r="C281" s="755">
        <v>2018</v>
      </c>
      <c r="D281" s="44" t="s">
        <v>8</v>
      </c>
      <c r="E281" s="8">
        <f t="shared" si="23"/>
        <v>2527.4</v>
      </c>
      <c r="F281" s="8">
        <f>SUM(F282:F286)</f>
        <v>2527.4</v>
      </c>
      <c r="G281" s="8">
        <f>SUM(G282:G286)</f>
        <v>0</v>
      </c>
      <c r="H281" s="8">
        <f>SUM(H282:H286)</f>
        <v>0</v>
      </c>
      <c r="I281" s="8">
        <f>SUM(I282:I286)</f>
        <v>0</v>
      </c>
      <c r="J281" s="756" t="s">
        <v>232</v>
      </c>
      <c r="K281" s="757" t="s">
        <v>233</v>
      </c>
    </row>
    <row r="282" spans="1:11" s="10" customFormat="1" ht="13.5" customHeight="1">
      <c r="A282" s="753"/>
      <c r="B282" s="754"/>
      <c r="C282" s="755"/>
      <c r="D282" s="44">
        <v>2016</v>
      </c>
      <c r="E282" s="8">
        <f t="shared" si="23"/>
        <v>0</v>
      </c>
      <c r="F282" s="9">
        <v>0</v>
      </c>
      <c r="G282" s="9">
        <v>0</v>
      </c>
      <c r="H282" s="9">
        <v>0</v>
      </c>
      <c r="I282" s="9">
        <v>0</v>
      </c>
      <c r="J282" s="756"/>
      <c r="K282" s="757"/>
    </row>
    <row r="283" spans="1:11" s="10" customFormat="1" ht="13.5" customHeight="1">
      <c r="A283" s="753"/>
      <c r="B283" s="754"/>
      <c r="C283" s="755"/>
      <c r="D283" s="44">
        <v>2017</v>
      </c>
      <c r="E283" s="8">
        <f t="shared" si="23"/>
        <v>0</v>
      </c>
      <c r="F283" s="9">
        <v>0</v>
      </c>
      <c r="G283" s="9">
        <v>0</v>
      </c>
      <c r="H283" s="9">
        <v>0</v>
      </c>
      <c r="I283" s="9">
        <v>0</v>
      </c>
      <c r="J283" s="756"/>
      <c r="K283" s="757"/>
    </row>
    <row r="284" spans="1:11" s="12" customFormat="1" ht="14.25" customHeight="1">
      <c r="A284" s="753"/>
      <c r="B284" s="754"/>
      <c r="C284" s="755"/>
      <c r="D284" s="44">
        <v>2018</v>
      </c>
      <c r="E284" s="8">
        <f t="shared" si="23"/>
        <v>2527.4</v>
      </c>
      <c r="F284" s="9">
        <v>2527.4</v>
      </c>
      <c r="G284" s="9">
        <v>0</v>
      </c>
      <c r="H284" s="9">
        <v>0</v>
      </c>
      <c r="I284" s="9">
        <v>0</v>
      </c>
      <c r="J284" s="756"/>
      <c r="K284" s="757"/>
    </row>
    <row r="285" spans="1:11" s="12" customFormat="1" ht="14.25" customHeight="1">
      <c r="A285" s="753"/>
      <c r="B285" s="754"/>
      <c r="C285" s="755"/>
      <c r="D285" s="44">
        <v>2019</v>
      </c>
      <c r="E285" s="8">
        <f t="shared" si="23"/>
        <v>0</v>
      </c>
      <c r="F285" s="9">
        <v>0</v>
      </c>
      <c r="G285" s="9">
        <v>0</v>
      </c>
      <c r="H285" s="9">
        <v>0</v>
      </c>
      <c r="I285" s="9">
        <v>0</v>
      </c>
      <c r="J285" s="756"/>
      <c r="K285" s="757"/>
    </row>
    <row r="286" spans="1:11" s="12" customFormat="1" ht="14.25" customHeight="1">
      <c r="A286" s="753"/>
      <c r="B286" s="754"/>
      <c r="C286" s="755"/>
      <c r="D286" s="44">
        <v>2020</v>
      </c>
      <c r="E286" s="8">
        <f t="shared" si="23"/>
        <v>0</v>
      </c>
      <c r="F286" s="9">
        <v>0</v>
      </c>
      <c r="G286" s="9">
        <v>0</v>
      </c>
      <c r="H286" s="9">
        <v>0</v>
      </c>
      <c r="I286" s="9">
        <v>0</v>
      </c>
      <c r="J286" s="756"/>
      <c r="K286" s="757"/>
    </row>
    <row r="287" spans="1:11" s="10" customFormat="1" ht="13.5" customHeight="1">
      <c r="A287" s="753" t="s">
        <v>234</v>
      </c>
      <c r="B287" s="754" t="s">
        <v>235</v>
      </c>
      <c r="C287" s="755">
        <v>2020</v>
      </c>
      <c r="D287" s="44" t="s">
        <v>8</v>
      </c>
      <c r="E287" s="8">
        <f t="shared" si="23"/>
        <v>18779.400000000001</v>
      </c>
      <c r="F287" s="8">
        <f>SUM(F288:F292)</f>
        <v>17840.400000000001</v>
      </c>
      <c r="G287" s="8">
        <f>SUM(G288:G292)</f>
        <v>0</v>
      </c>
      <c r="H287" s="8">
        <f>SUM(H288:H292)</f>
        <v>939</v>
      </c>
      <c r="I287" s="8">
        <f>SUM(I288:I292)</f>
        <v>0</v>
      </c>
      <c r="J287" s="756" t="s">
        <v>236</v>
      </c>
      <c r="K287" s="757" t="s">
        <v>169</v>
      </c>
    </row>
    <row r="288" spans="1:11" s="10" customFormat="1" ht="13.5" customHeight="1">
      <c r="A288" s="753"/>
      <c r="B288" s="754"/>
      <c r="C288" s="755"/>
      <c r="D288" s="44">
        <v>2016</v>
      </c>
      <c r="E288" s="8">
        <f t="shared" si="23"/>
        <v>0</v>
      </c>
      <c r="F288" s="9">
        <v>0</v>
      </c>
      <c r="G288" s="9">
        <v>0</v>
      </c>
      <c r="H288" s="9">
        <v>0</v>
      </c>
      <c r="I288" s="9">
        <v>0</v>
      </c>
      <c r="J288" s="756"/>
      <c r="K288" s="757"/>
    </row>
    <row r="289" spans="1:12" s="10" customFormat="1" ht="13.5" customHeight="1">
      <c r="A289" s="753"/>
      <c r="B289" s="754"/>
      <c r="C289" s="755"/>
      <c r="D289" s="44">
        <v>2017</v>
      </c>
      <c r="E289" s="8">
        <f t="shared" si="23"/>
        <v>0</v>
      </c>
      <c r="F289" s="9">
        <v>0</v>
      </c>
      <c r="G289" s="9">
        <v>0</v>
      </c>
      <c r="H289" s="9">
        <v>0</v>
      </c>
      <c r="I289" s="9">
        <v>0</v>
      </c>
      <c r="J289" s="756"/>
      <c r="K289" s="757"/>
    </row>
    <row r="290" spans="1:12" s="12" customFormat="1" ht="14.25" customHeight="1">
      <c r="A290" s="753"/>
      <c r="B290" s="754"/>
      <c r="C290" s="755"/>
      <c r="D290" s="44">
        <v>2018</v>
      </c>
      <c r="E290" s="8">
        <f t="shared" si="23"/>
        <v>0</v>
      </c>
      <c r="F290" s="9">
        <v>0</v>
      </c>
      <c r="G290" s="9">
        <v>0</v>
      </c>
      <c r="H290" s="9">
        <v>0</v>
      </c>
      <c r="I290" s="9">
        <v>0</v>
      </c>
      <c r="J290" s="756"/>
      <c r="K290" s="757"/>
    </row>
    <row r="291" spans="1:12" s="12" customFormat="1" ht="14.25" customHeight="1">
      <c r="A291" s="753"/>
      <c r="B291" s="754"/>
      <c r="C291" s="755"/>
      <c r="D291" s="44">
        <v>2019</v>
      </c>
      <c r="E291" s="8">
        <f t="shared" si="23"/>
        <v>0</v>
      </c>
      <c r="F291" s="9">
        <v>0</v>
      </c>
      <c r="G291" s="9">
        <v>0</v>
      </c>
      <c r="H291" s="9">
        <v>0</v>
      </c>
      <c r="I291" s="9">
        <v>0</v>
      </c>
      <c r="J291" s="756"/>
      <c r="K291" s="757"/>
    </row>
    <row r="292" spans="1:12" s="12" customFormat="1" ht="14.25" customHeight="1">
      <c r="A292" s="753"/>
      <c r="B292" s="754"/>
      <c r="C292" s="755"/>
      <c r="D292" s="44">
        <v>2020</v>
      </c>
      <c r="E292" s="8">
        <f t="shared" si="23"/>
        <v>18779.400000000001</v>
      </c>
      <c r="F292" s="9">
        <v>17840.400000000001</v>
      </c>
      <c r="G292" s="9">
        <v>0</v>
      </c>
      <c r="H292" s="9">
        <v>939</v>
      </c>
      <c r="I292" s="9">
        <v>0</v>
      </c>
      <c r="J292" s="756"/>
      <c r="K292" s="757"/>
    </row>
    <row r="293" spans="1:12" ht="15" customHeight="1">
      <c r="A293" s="753" t="s">
        <v>179</v>
      </c>
      <c r="B293" s="754" t="s">
        <v>103</v>
      </c>
      <c r="C293" s="755" t="s">
        <v>14</v>
      </c>
      <c r="D293" s="48" t="s">
        <v>8</v>
      </c>
      <c r="E293" s="8">
        <f t="shared" si="23"/>
        <v>283913.40000000002</v>
      </c>
      <c r="F293" s="8">
        <f>SUM(F294:F298)</f>
        <v>247202.2</v>
      </c>
      <c r="G293" s="8">
        <f>SUM(G294:G298)</f>
        <v>22623</v>
      </c>
      <c r="H293" s="8">
        <f>SUM(H294:H298)</f>
        <v>14088.2</v>
      </c>
      <c r="I293" s="8">
        <f>SUM(I294:I298)</f>
        <v>0</v>
      </c>
      <c r="J293" s="756" t="s">
        <v>104</v>
      </c>
      <c r="K293" s="756" t="s">
        <v>105</v>
      </c>
      <c r="L293" s="761"/>
    </row>
    <row r="294" spans="1:12">
      <c r="A294" s="753"/>
      <c r="B294" s="754"/>
      <c r="C294" s="755"/>
      <c r="D294" s="48">
        <v>2016</v>
      </c>
      <c r="E294" s="8">
        <f t="shared" ref="E294:I298" si="24">E300+E306+E312+E318+E324+E330+E336+E342+E348+E354+E360+E366+E372+E378+E384+E390+E396+E402</f>
        <v>88741</v>
      </c>
      <c r="F294" s="8">
        <f t="shared" si="24"/>
        <v>73734.3</v>
      </c>
      <c r="G294" s="8">
        <f t="shared" si="24"/>
        <v>11357.5</v>
      </c>
      <c r="H294" s="8">
        <f t="shared" si="24"/>
        <v>3649.2</v>
      </c>
      <c r="I294" s="8">
        <f t="shared" si="24"/>
        <v>0</v>
      </c>
      <c r="J294" s="756"/>
      <c r="K294" s="756"/>
      <c r="L294" s="761"/>
    </row>
    <row r="295" spans="1:12">
      <c r="A295" s="753"/>
      <c r="B295" s="754"/>
      <c r="C295" s="755"/>
      <c r="D295" s="48">
        <v>2017</v>
      </c>
      <c r="E295" s="8">
        <f t="shared" si="24"/>
        <v>64251.9</v>
      </c>
      <c r="F295" s="8">
        <f t="shared" si="24"/>
        <v>50265.600000000006</v>
      </c>
      <c r="G295" s="8">
        <f t="shared" si="24"/>
        <v>11265.5</v>
      </c>
      <c r="H295" s="8">
        <f t="shared" si="24"/>
        <v>2720.8</v>
      </c>
      <c r="I295" s="8">
        <f t="shared" si="24"/>
        <v>0</v>
      </c>
      <c r="J295" s="756"/>
      <c r="K295" s="756"/>
      <c r="L295" s="761"/>
    </row>
    <row r="296" spans="1:12">
      <c r="A296" s="753"/>
      <c r="B296" s="754"/>
      <c r="C296" s="755"/>
      <c r="D296" s="48">
        <v>2018</v>
      </c>
      <c r="E296" s="8">
        <f t="shared" si="24"/>
        <v>52003.3</v>
      </c>
      <c r="F296" s="8">
        <f t="shared" si="24"/>
        <v>49477.8</v>
      </c>
      <c r="G296" s="8">
        <f t="shared" si="24"/>
        <v>0</v>
      </c>
      <c r="H296" s="8">
        <f t="shared" si="24"/>
        <v>2525.5</v>
      </c>
      <c r="I296" s="8">
        <f t="shared" si="24"/>
        <v>0</v>
      </c>
      <c r="J296" s="756"/>
      <c r="K296" s="756"/>
      <c r="L296" s="761"/>
    </row>
    <row r="297" spans="1:12">
      <c r="A297" s="753"/>
      <c r="B297" s="754"/>
      <c r="C297" s="755"/>
      <c r="D297" s="48">
        <v>2019</v>
      </c>
      <c r="E297" s="8">
        <f t="shared" si="24"/>
        <v>72917.2</v>
      </c>
      <c r="F297" s="8">
        <f t="shared" si="24"/>
        <v>67724.5</v>
      </c>
      <c r="G297" s="8">
        <f t="shared" si="24"/>
        <v>0</v>
      </c>
      <c r="H297" s="8">
        <f t="shared" si="24"/>
        <v>5192.7</v>
      </c>
      <c r="I297" s="8">
        <f t="shared" si="24"/>
        <v>0</v>
      </c>
      <c r="J297" s="756"/>
      <c r="K297" s="756"/>
      <c r="L297" s="761"/>
    </row>
    <row r="298" spans="1:12">
      <c r="A298" s="753"/>
      <c r="B298" s="754"/>
      <c r="C298" s="755"/>
      <c r="D298" s="48">
        <v>2020</v>
      </c>
      <c r="E298" s="8">
        <f t="shared" si="24"/>
        <v>6000</v>
      </c>
      <c r="F298" s="8">
        <f t="shared" si="24"/>
        <v>6000</v>
      </c>
      <c r="G298" s="8">
        <f t="shared" si="24"/>
        <v>0</v>
      </c>
      <c r="H298" s="8">
        <f t="shared" si="24"/>
        <v>0</v>
      </c>
      <c r="I298" s="8">
        <f t="shared" si="24"/>
        <v>0</v>
      </c>
      <c r="J298" s="756"/>
      <c r="K298" s="756"/>
      <c r="L298" s="43"/>
    </row>
    <row r="299" spans="1:12" s="2" customFormat="1" ht="15" customHeight="1">
      <c r="A299" s="762" t="s">
        <v>102</v>
      </c>
      <c r="B299" s="760" t="s">
        <v>106</v>
      </c>
      <c r="C299" s="755" t="s">
        <v>14</v>
      </c>
      <c r="D299" s="37" t="s">
        <v>8</v>
      </c>
      <c r="E299" s="8">
        <f t="shared" ref="E299:E327" si="25">SUM(F299:I299)</f>
        <v>33000</v>
      </c>
      <c r="F299" s="8">
        <f>SUM(F300:F304)</f>
        <v>33000</v>
      </c>
      <c r="G299" s="8">
        <f>SUM(G300:G303)</f>
        <v>0</v>
      </c>
      <c r="H299" s="8">
        <f>SUM(H300:H303)</f>
        <v>0</v>
      </c>
      <c r="I299" s="8">
        <f>SUM(I300:I303)</f>
        <v>0</v>
      </c>
      <c r="J299" s="760" t="s">
        <v>107</v>
      </c>
      <c r="K299" s="756" t="s">
        <v>108</v>
      </c>
    </row>
    <row r="300" spans="1:12" s="2" customFormat="1">
      <c r="A300" s="762"/>
      <c r="B300" s="760"/>
      <c r="C300" s="755"/>
      <c r="D300" s="37">
        <v>2016</v>
      </c>
      <c r="E300" s="8">
        <f t="shared" si="25"/>
        <v>9000</v>
      </c>
      <c r="F300" s="13">
        <v>9000</v>
      </c>
      <c r="G300" s="14">
        <v>0</v>
      </c>
      <c r="H300" s="14">
        <v>0</v>
      </c>
      <c r="I300" s="14">
        <v>0</v>
      </c>
      <c r="J300" s="760"/>
      <c r="K300" s="756"/>
    </row>
    <row r="301" spans="1:12" s="2" customFormat="1">
      <c r="A301" s="762"/>
      <c r="B301" s="760"/>
      <c r="C301" s="755"/>
      <c r="D301" s="37">
        <v>2017</v>
      </c>
      <c r="E301" s="8">
        <f t="shared" si="25"/>
        <v>6000</v>
      </c>
      <c r="F301" s="13">
        <v>6000</v>
      </c>
      <c r="G301" s="14">
        <v>0</v>
      </c>
      <c r="H301" s="14">
        <v>0</v>
      </c>
      <c r="I301" s="14">
        <v>0</v>
      </c>
      <c r="J301" s="760"/>
      <c r="K301" s="756"/>
    </row>
    <row r="302" spans="1:12" s="2" customFormat="1">
      <c r="A302" s="762"/>
      <c r="B302" s="760"/>
      <c r="C302" s="755"/>
      <c r="D302" s="48">
        <v>2018</v>
      </c>
      <c r="E302" s="8">
        <f t="shared" si="25"/>
        <v>6000</v>
      </c>
      <c r="F302" s="13">
        <v>6000</v>
      </c>
      <c r="G302" s="14">
        <v>0</v>
      </c>
      <c r="H302" s="14">
        <v>0</v>
      </c>
      <c r="I302" s="14">
        <v>0</v>
      </c>
      <c r="J302" s="760"/>
      <c r="K302" s="756"/>
    </row>
    <row r="303" spans="1:12" s="2" customFormat="1">
      <c r="A303" s="762"/>
      <c r="B303" s="760"/>
      <c r="C303" s="755"/>
      <c r="D303" s="48">
        <v>2019</v>
      </c>
      <c r="E303" s="8">
        <f t="shared" si="25"/>
        <v>6000</v>
      </c>
      <c r="F303" s="13">
        <v>6000</v>
      </c>
      <c r="G303" s="14">
        <v>0</v>
      </c>
      <c r="H303" s="14">
        <v>0</v>
      </c>
      <c r="I303" s="14">
        <v>0</v>
      </c>
      <c r="J303" s="760"/>
      <c r="K303" s="756"/>
    </row>
    <row r="304" spans="1:12" s="2" customFormat="1">
      <c r="A304" s="762"/>
      <c r="B304" s="760"/>
      <c r="C304" s="755"/>
      <c r="D304" s="48">
        <v>2020</v>
      </c>
      <c r="E304" s="8">
        <f>SUM(F304:I304)</f>
        <v>6000</v>
      </c>
      <c r="F304" s="13">
        <v>6000</v>
      </c>
      <c r="G304" s="14">
        <v>0</v>
      </c>
      <c r="H304" s="14">
        <v>0</v>
      </c>
      <c r="I304" s="14">
        <v>0</v>
      </c>
      <c r="J304" s="760"/>
      <c r="K304" s="756"/>
    </row>
    <row r="305" spans="1:11" ht="15" customHeight="1">
      <c r="A305" s="762" t="s">
        <v>237</v>
      </c>
      <c r="B305" s="760" t="s">
        <v>109</v>
      </c>
      <c r="C305" s="762" t="s">
        <v>84</v>
      </c>
      <c r="D305" s="37" t="s">
        <v>8</v>
      </c>
      <c r="E305" s="8">
        <f t="shared" si="25"/>
        <v>37215.600000000006</v>
      </c>
      <c r="F305" s="8">
        <f>SUM(F306:F310)</f>
        <v>35354.800000000003</v>
      </c>
      <c r="G305" s="8">
        <f>SUM(G306:G310)</f>
        <v>0</v>
      </c>
      <c r="H305" s="8">
        <f>SUM(H306:H310)</f>
        <v>1860.8</v>
      </c>
      <c r="I305" s="8">
        <f>SUM(I306:I310)</f>
        <v>0</v>
      </c>
      <c r="J305" s="756" t="s">
        <v>164</v>
      </c>
      <c r="K305" s="757" t="s">
        <v>110</v>
      </c>
    </row>
    <row r="306" spans="1:11">
      <c r="A306" s="762"/>
      <c r="B306" s="760"/>
      <c r="C306" s="762"/>
      <c r="D306" s="37">
        <v>2016</v>
      </c>
      <c r="E306" s="8">
        <f t="shared" si="25"/>
        <v>37215.600000000006</v>
      </c>
      <c r="F306" s="9">
        <v>35354.800000000003</v>
      </c>
      <c r="G306" s="15">
        <v>0</v>
      </c>
      <c r="H306" s="9">
        <v>1860.8</v>
      </c>
      <c r="I306" s="15">
        <v>0</v>
      </c>
      <c r="J306" s="756"/>
      <c r="K306" s="757"/>
    </row>
    <row r="307" spans="1:11">
      <c r="A307" s="762"/>
      <c r="B307" s="760"/>
      <c r="C307" s="762"/>
      <c r="D307" s="37">
        <v>2017</v>
      </c>
      <c r="E307" s="8">
        <f t="shared" si="25"/>
        <v>0</v>
      </c>
      <c r="F307" s="15">
        <v>0</v>
      </c>
      <c r="G307" s="15">
        <v>0</v>
      </c>
      <c r="H307" s="15">
        <v>0</v>
      </c>
      <c r="I307" s="15">
        <v>0</v>
      </c>
      <c r="J307" s="756"/>
      <c r="K307" s="757"/>
    </row>
    <row r="308" spans="1:11">
      <c r="A308" s="762"/>
      <c r="B308" s="760"/>
      <c r="C308" s="762"/>
      <c r="D308" s="48">
        <v>2018</v>
      </c>
      <c r="E308" s="8">
        <f t="shared" si="25"/>
        <v>0</v>
      </c>
      <c r="F308" s="15">
        <v>0</v>
      </c>
      <c r="G308" s="15">
        <v>0</v>
      </c>
      <c r="H308" s="15">
        <v>0</v>
      </c>
      <c r="I308" s="15">
        <v>0</v>
      </c>
      <c r="J308" s="756"/>
      <c r="K308" s="757"/>
    </row>
    <row r="309" spans="1:11">
      <c r="A309" s="762"/>
      <c r="B309" s="760"/>
      <c r="C309" s="762"/>
      <c r="D309" s="48">
        <v>2019</v>
      </c>
      <c r="E309" s="8">
        <f t="shared" si="25"/>
        <v>0</v>
      </c>
      <c r="F309" s="9">
        <v>0</v>
      </c>
      <c r="G309" s="9">
        <v>0</v>
      </c>
      <c r="H309" s="9">
        <v>0</v>
      </c>
      <c r="I309" s="9">
        <v>0</v>
      </c>
      <c r="J309" s="756"/>
      <c r="K309" s="757"/>
    </row>
    <row r="310" spans="1:11">
      <c r="A310" s="762"/>
      <c r="B310" s="760"/>
      <c r="C310" s="762"/>
      <c r="D310" s="48">
        <v>2020</v>
      </c>
      <c r="E310" s="8">
        <f>SUM(F310:I310)</f>
        <v>0</v>
      </c>
      <c r="F310" s="9">
        <v>0</v>
      </c>
      <c r="G310" s="9">
        <v>0</v>
      </c>
      <c r="H310" s="9">
        <v>0</v>
      </c>
      <c r="I310" s="9">
        <v>0</v>
      </c>
      <c r="J310" s="756"/>
      <c r="K310" s="757"/>
    </row>
    <row r="311" spans="1:11" ht="15" customHeight="1">
      <c r="A311" s="762" t="s">
        <v>238</v>
      </c>
      <c r="B311" s="760" t="s">
        <v>111</v>
      </c>
      <c r="C311" s="762">
        <v>2016</v>
      </c>
      <c r="D311" s="37" t="s">
        <v>8</v>
      </c>
      <c r="E311" s="8">
        <f t="shared" si="25"/>
        <v>2392.1</v>
      </c>
      <c r="F311" s="8">
        <f>SUM(F312:F316)</f>
        <v>2272.5</v>
      </c>
      <c r="G311" s="8">
        <f>SUM(G312:G316)</f>
        <v>0</v>
      </c>
      <c r="H311" s="8">
        <f>SUM(H312:H316)</f>
        <v>119.6</v>
      </c>
      <c r="I311" s="8">
        <f>SUM(I312:I316)</f>
        <v>0</v>
      </c>
      <c r="J311" s="756" t="s">
        <v>112</v>
      </c>
      <c r="K311" s="757" t="s">
        <v>113</v>
      </c>
    </row>
    <row r="312" spans="1:11">
      <c r="A312" s="762"/>
      <c r="B312" s="760"/>
      <c r="C312" s="762"/>
      <c r="D312" s="37">
        <v>2016</v>
      </c>
      <c r="E312" s="8">
        <f t="shared" si="25"/>
        <v>2392.1</v>
      </c>
      <c r="F312" s="9">
        <v>2272.5</v>
      </c>
      <c r="G312" s="9">
        <v>0</v>
      </c>
      <c r="H312" s="9">
        <v>119.6</v>
      </c>
      <c r="I312" s="9">
        <v>0</v>
      </c>
      <c r="J312" s="756"/>
      <c r="K312" s="757"/>
    </row>
    <row r="313" spans="1:11">
      <c r="A313" s="762"/>
      <c r="B313" s="760"/>
      <c r="C313" s="762"/>
      <c r="D313" s="37">
        <v>2017</v>
      </c>
      <c r="E313" s="8">
        <f t="shared" si="25"/>
        <v>0</v>
      </c>
      <c r="F313" s="9">
        <v>0</v>
      </c>
      <c r="G313" s="9">
        <v>0</v>
      </c>
      <c r="H313" s="9">
        <v>0</v>
      </c>
      <c r="I313" s="9">
        <v>0</v>
      </c>
      <c r="J313" s="756"/>
      <c r="K313" s="757"/>
    </row>
    <row r="314" spans="1:11">
      <c r="A314" s="762"/>
      <c r="B314" s="760"/>
      <c r="C314" s="762"/>
      <c r="D314" s="48">
        <v>2018</v>
      </c>
      <c r="E314" s="8">
        <f t="shared" si="25"/>
        <v>0</v>
      </c>
      <c r="F314" s="9">
        <v>0</v>
      </c>
      <c r="G314" s="9">
        <v>0</v>
      </c>
      <c r="H314" s="9">
        <v>0</v>
      </c>
      <c r="I314" s="9">
        <v>0</v>
      </c>
      <c r="J314" s="756"/>
      <c r="K314" s="757"/>
    </row>
    <row r="315" spans="1:11">
      <c r="A315" s="762"/>
      <c r="B315" s="760"/>
      <c r="C315" s="762"/>
      <c r="D315" s="48">
        <v>2019</v>
      </c>
      <c r="E315" s="8">
        <f t="shared" si="25"/>
        <v>0</v>
      </c>
      <c r="F315" s="9">
        <v>0</v>
      </c>
      <c r="G315" s="9">
        <v>0</v>
      </c>
      <c r="H315" s="9">
        <v>0</v>
      </c>
      <c r="I315" s="9">
        <v>0</v>
      </c>
      <c r="J315" s="756"/>
      <c r="K315" s="757"/>
    </row>
    <row r="316" spans="1:11">
      <c r="A316" s="762"/>
      <c r="B316" s="760"/>
      <c r="C316" s="762"/>
      <c r="D316" s="48">
        <v>2020</v>
      </c>
      <c r="E316" s="8">
        <f>SUM(F316:I316)</f>
        <v>0</v>
      </c>
      <c r="F316" s="9">
        <v>0</v>
      </c>
      <c r="G316" s="9">
        <v>0</v>
      </c>
      <c r="H316" s="9">
        <v>0</v>
      </c>
      <c r="I316" s="9">
        <v>0</v>
      </c>
      <c r="J316" s="756"/>
      <c r="K316" s="757"/>
    </row>
    <row r="317" spans="1:11" ht="15" customHeight="1">
      <c r="A317" s="762" t="s">
        <v>239</v>
      </c>
      <c r="B317" s="760" t="s">
        <v>114</v>
      </c>
      <c r="C317" s="762">
        <v>2016</v>
      </c>
      <c r="D317" s="37" t="s">
        <v>8</v>
      </c>
      <c r="E317" s="8">
        <f t="shared" si="25"/>
        <v>2156.7000000000003</v>
      </c>
      <c r="F317" s="8">
        <f>SUM(F318:F322)</f>
        <v>2048.9</v>
      </c>
      <c r="G317" s="8">
        <f>SUM(G318:G322)</f>
        <v>0</v>
      </c>
      <c r="H317" s="8">
        <f>SUM(H318:H322)</f>
        <v>107.8</v>
      </c>
      <c r="I317" s="8">
        <f>SUM(I318:I322)</f>
        <v>0</v>
      </c>
      <c r="J317" s="756" t="s">
        <v>115</v>
      </c>
      <c r="K317" s="757" t="s">
        <v>113</v>
      </c>
    </row>
    <row r="318" spans="1:11">
      <c r="A318" s="762"/>
      <c r="B318" s="760"/>
      <c r="C318" s="762"/>
      <c r="D318" s="37">
        <v>2016</v>
      </c>
      <c r="E318" s="8">
        <f t="shared" si="25"/>
        <v>2156.7000000000003</v>
      </c>
      <c r="F318" s="9">
        <v>2048.9</v>
      </c>
      <c r="G318" s="9">
        <v>0</v>
      </c>
      <c r="H318" s="9">
        <v>107.8</v>
      </c>
      <c r="I318" s="9">
        <v>0</v>
      </c>
      <c r="J318" s="756"/>
      <c r="K318" s="757"/>
    </row>
    <row r="319" spans="1:11">
      <c r="A319" s="762"/>
      <c r="B319" s="760"/>
      <c r="C319" s="762"/>
      <c r="D319" s="37">
        <v>2017</v>
      </c>
      <c r="E319" s="8">
        <f t="shared" si="25"/>
        <v>0</v>
      </c>
      <c r="F319" s="9">
        <v>0</v>
      </c>
      <c r="G319" s="9">
        <v>0</v>
      </c>
      <c r="H319" s="9">
        <v>0</v>
      </c>
      <c r="I319" s="9">
        <v>0</v>
      </c>
      <c r="J319" s="756"/>
      <c r="K319" s="757"/>
    </row>
    <row r="320" spans="1:11">
      <c r="A320" s="762"/>
      <c r="B320" s="760"/>
      <c r="C320" s="762"/>
      <c r="D320" s="48">
        <v>2018</v>
      </c>
      <c r="E320" s="8">
        <f t="shared" si="25"/>
        <v>0</v>
      </c>
      <c r="F320" s="9">
        <v>0</v>
      </c>
      <c r="G320" s="9">
        <v>0</v>
      </c>
      <c r="H320" s="9">
        <v>0</v>
      </c>
      <c r="I320" s="9">
        <v>0</v>
      </c>
      <c r="J320" s="756"/>
      <c r="K320" s="757"/>
    </row>
    <row r="321" spans="1:11">
      <c r="A321" s="762"/>
      <c r="B321" s="760"/>
      <c r="C321" s="762"/>
      <c r="D321" s="48">
        <v>2019</v>
      </c>
      <c r="E321" s="8">
        <f t="shared" si="25"/>
        <v>0</v>
      </c>
      <c r="F321" s="9">
        <v>0</v>
      </c>
      <c r="G321" s="9">
        <v>0</v>
      </c>
      <c r="H321" s="9">
        <v>0</v>
      </c>
      <c r="I321" s="9">
        <v>0</v>
      </c>
      <c r="J321" s="756"/>
      <c r="K321" s="757"/>
    </row>
    <row r="322" spans="1:11">
      <c r="A322" s="762"/>
      <c r="B322" s="760"/>
      <c r="C322" s="762"/>
      <c r="D322" s="48">
        <v>2020</v>
      </c>
      <c r="E322" s="8">
        <f>SUM(F322:I322)</f>
        <v>0</v>
      </c>
      <c r="F322" s="9">
        <v>0</v>
      </c>
      <c r="G322" s="9">
        <v>0</v>
      </c>
      <c r="H322" s="9">
        <v>0</v>
      </c>
      <c r="I322" s="9">
        <v>0</v>
      </c>
      <c r="J322" s="756"/>
      <c r="K322" s="757"/>
    </row>
    <row r="323" spans="1:11" ht="16.5" customHeight="1">
      <c r="A323" s="762" t="s">
        <v>240</v>
      </c>
      <c r="B323" s="760" t="s">
        <v>116</v>
      </c>
      <c r="C323" s="762">
        <v>2016</v>
      </c>
      <c r="D323" s="37" t="s">
        <v>8</v>
      </c>
      <c r="E323" s="8">
        <f t="shared" si="25"/>
        <v>5977.5</v>
      </c>
      <c r="F323" s="8">
        <f>SUM(F324:F328)</f>
        <v>5678.6</v>
      </c>
      <c r="G323" s="8">
        <f>SUM(G324:G328)</f>
        <v>0</v>
      </c>
      <c r="H323" s="8">
        <f>SUM(H324:H328)</f>
        <v>298.89999999999998</v>
      </c>
      <c r="I323" s="8">
        <f>SUM(I324:I328)</f>
        <v>0</v>
      </c>
      <c r="J323" s="756" t="s">
        <v>117</v>
      </c>
      <c r="K323" s="757" t="s">
        <v>113</v>
      </c>
    </row>
    <row r="324" spans="1:11" ht="16.5" customHeight="1">
      <c r="A324" s="762"/>
      <c r="B324" s="760"/>
      <c r="C324" s="762"/>
      <c r="D324" s="37">
        <v>2016</v>
      </c>
      <c r="E324" s="8">
        <f t="shared" si="25"/>
        <v>5977.5</v>
      </c>
      <c r="F324" s="9">
        <v>5678.6</v>
      </c>
      <c r="G324" s="9">
        <v>0</v>
      </c>
      <c r="H324" s="9">
        <v>298.89999999999998</v>
      </c>
      <c r="I324" s="9">
        <v>0</v>
      </c>
      <c r="J324" s="756"/>
      <c r="K324" s="757"/>
    </row>
    <row r="325" spans="1:11" ht="16.5" customHeight="1">
      <c r="A325" s="762"/>
      <c r="B325" s="760"/>
      <c r="C325" s="762"/>
      <c r="D325" s="37">
        <v>2017</v>
      </c>
      <c r="E325" s="8">
        <f t="shared" si="25"/>
        <v>0</v>
      </c>
      <c r="F325" s="9">
        <v>0</v>
      </c>
      <c r="G325" s="9">
        <v>0</v>
      </c>
      <c r="H325" s="9">
        <v>0</v>
      </c>
      <c r="I325" s="9">
        <v>0</v>
      </c>
      <c r="J325" s="756"/>
      <c r="K325" s="757"/>
    </row>
    <row r="326" spans="1:11" ht="16.5" customHeight="1">
      <c r="A326" s="762"/>
      <c r="B326" s="760"/>
      <c r="C326" s="762"/>
      <c r="D326" s="48">
        <v>2018</v>
      </c>
      <c r="E326" s="8">
        <f t="shared" si="25"/>
        <v>0</v>
      </c>
      <c r="F326" s="9">
        <v>0</v>
      </c>
      <c r="G326" s="9">
        <v>0</v>
      </c>
      <c r="H326" s="9">
        <v>0</v>
      </c>
      <c r="I326" s="9">
        <v>0</v>
      </c>
      <c r="J326" s="756"/>
      <c r="K326" s="757"/>
    </row>
    <row r="327" spans="1:11" ht="16.5" customHeight="1">
      <c r="A327" s="762"/>
      <c r="B327" s="760"/>
      <c r="C327" s="762"/>
      <c r="D327" s="48">
        <v>2019</v>
      </c>
      <c r="E327" s="8">
        <f t="shared" si="25"/>
        <v>0</v>
      </c>
      <c r="F327" s="9">
        <v>0</v>
      </c>
      <c r="G327" s="9">
        <v>0</v>
      </c>
      <c r="H327" s="9">
        <v>0</v>
      </c>
      <c r="I327" s="9">
        <v>0</v>
      </c>
      <c r="J327" s="756"/>
      <c r="K327" s="757"/>
    </row>
    <row r="328" spans="1:11" ht="16.5" customHeight="1">
      <c r="A328" s="762"/>
      <c r="B328" s="760"/>
      <c r="C328" s="762"/>
      <c r="D328" s="48">
        <v>2020</v>
      </c>
      <c r="E328" s="8">
        <f>SUM(F328:I328)</f>
        <v>0</v>
      </c>
      <c r="F328" s="9">
        <v>0</v>
      </c>
      <c r="G328" s="9">
        <v>0</v>
      </c>
      <c r="H328" s="9">
        <v>0</v>
      </c>
      <c r="I328" s="9">
        <v>0</v>
      </c>
      <c r="J328" s="756"/>
      <c r="K328" s="757"/>
    </row>
    <row r="329" spans="1:11" ht="12.75" customHeight="1">
      <c r="A329" s="762" t="s">
        <v>241</v>
      </c>
      <c r="B329" s="760" t="s">
        <v>118</v>
      </c>
      <c r="C329" s="762">
        <v>2016</v>
      </c>
      <c r="D329" s="37" t="s">
        <v>8</v>
      </c>
      <c r="E329" s="8">
        <f t="shared" ref="E329:E339" si="26">SUM(F329:I329)</f>
        <v>13114.6</v>
      </c>
      <c r="F329" s="8">
        <f>SUM(F330:F334)</f>
        <v>12452.5</v>
      </c>
      <c r="G329" s="8">
        <f>SUM(G330:G334)</f>
        <v>0</v>
      </c>
      <c r="H329" s="8">
        <f>SUM(H330:H334)</f>
        <v>662.1</v>
      </c>
      <c r="I329" s="8">
        <f>SUM(I330:I334)</f>
        <v>0</v>
      </c>
      <c r="J329" s="756" t="s">
        <v>119</v>
      </c>
      <c r="K329" s="757" t="s">
        <v>90</v>
      </c>
    </row>
    <row r="330" spans="1:11">
      <c r="A330" s="762"/>
      <c r="B330" s="760"/>
      <c r="C330" s="762"/>
      <c r="D330" s="37">
        <v>2016</v>
      </c>
      <c r="E330" s="8">
        <f t="shared" si="26"/>
        <v>13114.6</v>
      </c>
      <c r="F330" s="9">
        <v>12452.5</v>
      </c>
      <c r="G330" s="9">
        <v>0</v>
      </c>
      <c r="H330" s="9">
        <v>662.1</v>
      </c>
      <c r="I330" s="9">
        <v>0</v>
      </c>
      <c r="J330" s="756"/>
      <c r="K330" s="757"/>
    </row>
    <row r="331" spans="1:11">
      <c r="A331" s="762"/>
      <c r="B331" s="760"/>
      <c r="C331" s="762"/>
      <c r="D331" s="37">
        <v>2017</v>
      </c>
      <c r="E331" s="8">
        <f t="shared" si="26"/>
        <v>0</v>
      </c>
      <c r="F331" s="9">
        <v>0</v>
      </c>
      <c r="G331" s="9">
        <v>0</v>
      </c>
      <c r="H331" s="9">
        <v>0</v>
      </c>
      <c r="I331" s="9">
        <v>0</v>
      </c>
      <c r="J331" s="756"/>
      <c r="K331" s="757"/>
    </row>
    <row r="332" spans="1:11">
      <c r="A332" s="762"/>
      <c r="B332" s="760"/>
      <c r="C332" s="762"/>
      <c r="D332" s="48">
        <v>2018</v>
      </c>
      <c r="E332" s="8">
        <f t="shared" si="26"/>
        <v>0</v>
      </c>
      <c r="F332" s="9">
        <v>0</v>
      </c>
      <c r="G332" s="9">
        <v>0</v>
      </c>
      <c r="H332" s="9">
        <v>0</v>
      </c>
      <c r="I332" s="9">
        <v>0</v>
      </c>
      <c r="J332" s="756"/>
      <c r="K332" s="757"/>
    </row>
    <row r="333" spans="1:11">
      <c r="A333" s="762"/>
      <c r="B333" s="760"/>
      <c r="C333" s="762"/>
      <c r="D333" s="48">
        <v>2019</v>
      </c>
      <c r="E333" s="8">
        <f t="shared" si="26"/>
        <v>0</v>
      </c>
      <c r="F333" s="9">
        <v>0</v>
      </c>
      <c r="G333" s="9">
        <v>0</v>
      </c>
      <c r="H333" s="9">
        <v>0</v>
      </c>
      <c r="I333" s="9">
        <v>0</v>
      </c>
      <c r="J333" s="756"/>
      <c r="K333" s="757"/>
    </row>
    <row r="334" spans="1:11">
      <c r="A334" s="762"/>
      <c r="B334" s="760"/>
      <c r="C334" s="762"/>
      <c r="D334" s="48">
        <v>2020</v>
      </c>
      <c r="E334" s="8">
        <f>SUM(F334:I334)</f>
        <v>0</v>
      </c>
      <c r="F334" s="9">
        <v>0</v>
      </c>
      <c r="G334" s="9">
        <v>0</v>
      </c>
      <c r="H334" s="9">
        <v>0</v>
      </c>
      <c r="I334" s="9">
        <v>0</v>
      </c>
      <c r="J334" s="756"/>
      <c r="K334" s="757"/>
    </row>
    <row r="335" spans="1:11" ht="15" customHeight="1">
      <c r="A335" s="762" t="s">
        <v>242</v>
      </c>
      <c r="B335" s="760" t="s">
        <v>120</v>
      </c>
      <c r="C335" s="762" t="s">
        <v>30</v>
      </c>
      <c r="D335" s="37" t="s">
        <v>8</v>
      </c>
      <c r="E335" s="8">
        <f t="shared" si="26"/>
        <v>23223</v>
      </c>
      <c r="F335" s="8">
        <f>SUM(F336:F340)</f>
        <v>0</v>
      </c>
      <c r="G335" s="8">
        <f>SUM(G336:G340)</f>
        <v>22623</v>
      </c>
      <c r="H335" s="8">
        <f>SUM(H336:H340)</f>
        <v>600</v>
      </c>
      <c r="I335" s="8">
        <f>SUM(I336:I340)</f>
        <v>0</v>
      </c>
      <c r="J335" s="756" t="s">
        <v>121</v>
      </c>
      <c r="K335" s="757" t="s">
        <v>113</v>
      </c>
    </row>
    <row r="336" spans="1:11">
      <c r="A336" s="762"/>
      <c r="B336" s="760"/>
      <c r="C336" s="762"/>
      <c r="D336" s="37">
        <v>2016</v>
      </c>
      <c r="E336" s="8">
        <f t="shared" si="26"/>
        <v>11957.5</v>
      </c>
      <c r="F336" s="9">
        <v>0</v>
      </c>
      <c r="G336" s="9">
        <v>11357.5</v>
      </c>
      <c r="H336" s="9">
        <v>600</v>
      </c>
      <c r="I336" s="9">
        <v>0</v>
      </c>
      <c r="J336" s="756"/>
      <c r="K336" s="757"/>
    </row>
    <row r="337" spans="1:11">
      <c r="A337" s="762"/>
      <c r="B337" s="760"/>
      <c r="C337" s="762"/>
      <c r="D337" s="37">
        <v>2017</v>
      </c>
      <c r="E337" s="8">
        <f t="shared" si="26"/>
        <v>11265.5</v>
      </c>
      <c r="F337" s="9">
        <v>0</v>
      </c>
      <c r="G337" s="9">
        <v>11265.5</v>
      </c>
      <c r="H337" s="9">
        <v>0</v>
      </c>
      <c r="I337" s="9">
        <v>0</v>
      </c>
      <c r="J337" s="756"/>
      <c r="K337" s="757"/>
    </row>
    <row r="338" spans="1:11">
      <c r="A338" s="762"/>
      <c r="B338" s="760"/>
      <c r="C338" s="762"/>
      <c r="D338" s="48">
        <v>2018</v>
      </c>
      <c r="E338" s="8">
        <f t="shared" si="26"/>
        <v>0</v>
      </c>
      <c r="F338" s="9">
        <v>0</v>
      </c>
      <c r="G338" s="9">
        <v>0</v>
      </c>
      <c r="H338" s="9">
        <v>0</v>
      </c>
      <c r="I338" s="9">
        <v>0</v>
      </c>
      <c r="J338" s="756"/>
      <c r="K338" s="757"/>
    </row>
    <row r="339" spans="1:11">
      <c r="A339" s="762"/>
      <c r="B339" s="760"/>
      <c r="C339" s="762"/>
      <c r="D339" s="48">
        <v>2019</v>
      </c>
      <c r="E339" s="8">
        <f t="shared" si="26"/>
        <v>0</v>
      </c>
      <c r="F339" s="9">
        <v>0</v>
      </c>
      <c r="G339" s="9">
        <v>0</v>
      </c>
      <c r="H339" s="9">
        <v>0</v>
      </c>
      <c r="I339" s="9">
        <v>0</v>
      </c>
      <c r="J339" s="756"/>
      <c r="K339" s="757"/>
    </row>
    <row r="340" spans="1:11">
      <c r="A340" s="762"/>
      <c r="B340" s="760"/>
      <c r="C340" s="762"/>
      <c r="D340" s="48">
        <v>2020</v>
      </c>
      <c r="E340" s="8">
        <f>SUM(F340:I340)</f>
        <v>0</v>
      </c>
      <c r="F340" s="9">
        <v>0</v>
      </c>
      <c r="G340" s="9">
        <v>0</v>
      </c>
      <c r="H340" s="9">
        <v>0</v>
      </c>
      <c r="I340" s="9">
        <v>0</v>
      </c>
      <c r="J340" s="756"/>
      <c r="K340" s="757"/>
    </row>
    <row r="341" spans="1:11" ht="15" customHeight="1">
      <c r="A341" s="762" t="s">
        <v>243</v>
      </c>
      <c r="B341" s="760" t="s">
        <v>122</v>
      </c>
      <c r="C341" s="762">
        <v>2016</v>
      </c>
      <c r="D341" s="37" t="s">
        <v>8</v>
      </c>
      <c r="E341" s="8">
        <f t="shared" ref="E341:E404" si="27">SUM(F341:I341)</f>
        <v>6327</v>
      </c>
      <c r="F341" s="8">
        <f>SUM(F342:F346)</f>
        <v>6327</v>
      </c>
      <c r="G341" s="8">
        <f>SUM(G342:G346)</f>
        <v>0</v>
      </c>
      <c r="H341" s="8">
        <f>SUM(H342:H346)</f>
        <v>0</v>
      </c>
      <c r="I341" s="8">
        <f>SUM(I342:I346)</f>
        <v>0</v>
      </c>
      <c r="J341" s="756" t="s">
        <v>123</v>
      </c>
      <c r="K341" s="757" t="s">
        <v>23</v>
      </c>
    </row>
    <row r="342" spans="1:11">
      <c r="A342" s="762"/>
      <c r="B342" s="760"/>
      <c r="C342" s="762"/>
      <c r="D342" s="37">
        <v>2016</v>
      </c>
      <c r="E342" s="8">
        <f t="shared" si="27"/>
        <v>6327</v>
      </c>
      <c r="F342" s="9">
        <v>6327</v>
      </c>
      <c r="G342" s="9">
        <v>0</v>
      </c>
      <c r="H342" s="9">
        <v>0</v>
      </c>
      <c r="I342" s="9">
        <v>0</v>
      </c>
      <c r="J342" s="756"/>
      <c r="K342" s="757"/>
    </row>
    <row r="343" spans="1:11">
      <c r="A343" s="762"/>
      <c r="B343" s="760"/>
      <c r="C343" s="762"/>
      <c r="D343" s="37">
        <v>2017</v>
      </c>
      <c r="E343" s="8">
        <f t="shared" si="27"/>
        <v>0</v>
      </c>
      <c r="F343" s="9">
        <v>0</v>
      </c>
      <c r="G343" s="9">
        <v>0</v>
      </c>
      <c r="H343" s="9">
        <v>0</v>
      </c>
      <c r="I343" s="9">
        <v>0</v>
      </c>
      <c r="J343" s="756"/>
      <c r="K343" s="757"/>
    </row>
    <row r="344" spans="1:11">
      <c r="A344" s="762"/>
      <c r="B344" s="760"/>
      <c r="C344" s="762"/>
      <c r="D344" s="48">
        <v>2018</v>
      </c>
      <c r="E344" s="8">
        <f t="shared" si="27"/>
        <v>0</v>
      </c>
      <c r="F344" s="9">
        <v>0</v>
      </c>
      <c r="G344" s="9">
        <v>0</v>
      </c>
      <c r="H344" s="9">
        <v>0</v>
      </c>
      <c r="I344" s="9">
        <v>0</v>
      </c>
      <c r="J344" s="756"/>
      <c r="K344" s="757"/>
    </row>
    <row r="345" spans="1:11">
      <c r="A345" s="762"/>
      <c r="B345" s="760"/>
      <c r="C345" s="762"/>
      <c r="D345" s="48">
        <v>2019</v>
      </c>
      <c r="E345" s="8">
        <f>SUM(F345:I345)</f>
        <v>0</v>
      </c>
      <c r="F345" s="9">
        <v>0</v>
      </c>
      <c r="G345" s="9">
        <v>0</v>
      </c>
      <c r="H345" s="9">
        <v>0</v>
      </c>
      <c r="I345" s="9">
        <v>0</v>
      </c>
      <c r="J345" s="756"/>
      <c r="K345" s="757"/>
    </row>
    <row r="346" spans="1:11">
      <c r="A346" s="762"/>
      <c r="B346" s="760"/>
      <c r="C346" s="762"/>
      <c r="D346" s="48">
        <v>2020</v>
      </c>
      <c r="E346" s="8">
        <f>SUM(F346:I346)</f>
        <v>0</v>
      </c>
      <c r="F346" s="9">
        <v>0</v>
      </c>
      <c r="G346" s="9">
        <v>0</v>
      </c>
      <c r="H346" s="9">
        <v>0</v>
      </c>
      <c r="I346" s="9">
        <v>0</v>
      </c>
      <c r="J346" s="756"/>
      <c r="K346" s="757"/>
    </row>
    <row r="347" spans="1:11" ht="15" customHeight="1">
      <c r="A347" s="762" t="s">
        <v>244</v>
      </c>
      <c r="B347" s="760" t="s">
        <v>124</v>
      </c>
      <c r="C347" s="762">
        <v>2016</v>
      </c>
      <c r="D347" s="37" t="s">
        <v>8</v>
      </c>
      <c r="E347" s="8">
        <f t="shared" si="27"/>
        <v>600</v>
      </c>
      <c r="F347" s="8">
        <f>SUM(F348:F352)</f>
        <v>600</v>
      </c>
      <c r="G347" s="8">
        <f>SUM(G348:G352)</f>
        <v>0</v>
      </c>
      <c r="H347" s="8">
        <f>SUM(H348:H352)</f>
        <v>0</v>
      </c>
      <c r="I347" s="8">
        <f>SUM(I348:I352)</f>
        <v>0</v>
      </c>
      <c r="J347" s="756" t="s">
        <v>125</v>
      </c>
      <c r="K347" s="757" t="s">
        <v>23</v>
      </c>
    </row>
    <row r="348" spans="1:11">
      <c r="A348" s="762"/>
      <c r="B348" s="760"/>
      <c r="C348" s="762"/>
      <c r="D348" s="37">
        <v>2016</v>
      </c>
      <c r="E348" s="8">
        <f t="shared" si="27"/>
        <v>600</v>
      </c>
      <c r="F348" s="9">
        <v>600</v>
      </c>
      <c r="G348" s="9">
        <v>0</v>
      </c>
      <c r="H348" s="9">
        <v>0</v>
      </c>
      <c r="I348" s="9">
        <v>0</v>
      </c>
      <c r="J348" s="756"/>
      <c r="K348" s="757"/>
    </row>
    <row r="349" spans="1:11">
      <c r="A349" s="762"/>
      <c r="B349" s="760"/>
      <c r="C349" s="762"/>
      <c r="D349" s="37">
        <v>2017</v>
      </c>
      <c r="E349" s="8">
        <f t="shared" si="27"/>
        <v>0</v>
      </c>
      <c r="F349" s="9">
        <v>0</v>
      </c>
      <c r="G349" s="9">
        <v>0</v>
      </c>
      <c r="H349" s="9">
        <v>0</v>
      </c>
      <c r="I349" s="9">
        <v>0</v>
      </c>
      <c r="J349" s="756"/>
      <c r="K349" s="757"/>
    </row>
    <row r="350" spans="1:11">
      <c r="A350" s="762"/>
      <c r="B350" s="760"/>
      <c r="C350" s="762"/>
      <c r="D350" s="48">
        <v>2018</v>
      </c>
      <c r="E350" s="8">
        <f t="shared" si="27"/>
        <v>0</v>
      </c>
      <c r="F350" s="9">
        <v>0</v>
      </c>
      <c r="G350" s="9">
        <v>0</v>
      </c>
      <c r="H350" s="9">
        <v>0</v>
      </c>
      <c r="I350" s="9">
        <v>0</v>
      </c>
      <c r="J350" s="756"/>
      <c r="K350" s="757"/>
    </row>
    <row r="351" spans="1:11">
      <c r="A351" s="762"/>
      <c r="B351" s="760"/>
      <c r="C351" s="762"/>
      <c r="D351" s="48">
        <v>2019</v>
      </c>
      <c r="E351" s="8">
        <f t="shared" si="27"/>
        <v>0</v>
      </c>
      <c r="F351" s="9">
        <v>0</v>
      </c>
      <c r="G351" s="9">
        <v>0</v>
      </c>
      <c r="H351" s="9">
        <v>0</v>
      </c>
      <c r="I351" s="9">
        <v>0</v>
      </c>
      <c r="J351" s="756"/>
      <c r="K351" s="757"/>
    </row>
    <row r="352" spans="1:11">
      <c r="A352" s="762"/>
      <c r="B352" s="760"/>
      <c r="C352" s="762"/>
      <c r="D352" s="48">
        <v>2020</v>
      </c>
      <c r="E352" s="8">
        <f t="shared" si="27"/>
        <v>0</v>
      </c>
      <c r="F352" s="9">
        <v>0</v>
      </c>
      <c r="G352" s="9">
        <v>0</v>
      </c>
      <c r="H352" s="9">
        <v>0</v>
      </c>
      <c r="I352" s="9">
        <v>0</v>
      </c>
      <c r="J352" s="756"/>
      <c r="K352" s="757"/>
    </row>
    <row r="353" spans="1:11" ht="15" customHeight="1">
      <c r="A353" s="762" t="s">
        <v>245</v>
      </c>
      <c r="B353" s="760" t="s">
        <v>126</v>
      </c>
      <c r="C353" s="762">
        <v>2017</v>
      </c>
      <c r="D353" s="37" t="s">
        <v>8</v>
      </c>
      <c r="E353" s="8">
        <f t="shared" si="27"/>
        <v>9490.9</v>
      </c>
      <c r="F353" s="8">
        <f>SUM(F354:F358)</f>
        <v>8990.9</v>
      </c>
      <c r="G353" s="8">
        <f>SUM(G354:G358)</f>
        <v>0</v>
      </c>
      <c r="H353" s="8">
        <f>SUM(H354:H358)</f>
        <v>500</v>
      </c>
      <c r="I353" s="8">
        <f>SUM(I354:I358)</f>
        <v>0</v>
      </c>
      <c r="J353" s="756" t="s">
        <v>127</v>
      </c>
      <c r="K353" s="757" t="s">
        <v>128</v>
      </c>
    </row>
    <row r="354" spans="1:11">
      <c r="A354" s="762"/>
      <c r="B354" s="760"/>
      <c r="C354" s="762"/>
      <c r="D354" s="37">
        <v>2016</v>
      </c>
      <c r="E354" s="8">
        <f t="shared" si="27"/>
        <v>0</v>
      </c>
      <c r="F354" s="9">
        <v>0</v>
      </c>
      <c r="G354" s="9">
        <v>0</v>
      </c>
      <c r="H354" s="9">
        <v>0</v>
      </c>
      <c r="I354" s="9">
        <v>0</v>
      </c>
      <c r="J354" s="756"/>
      <c r="K354" s="757"/>
    </row>
    <row r="355" spans="1:11">
      <c r="A355" s="762"/>
      <c r="B355" s="760"/>
      <c r="C355" s="762"/>
      <c r="D355" s="37">
        <v>2017</v>
      </c>
      <c r="E355" s="8">
        <f t="shared" si="27"/>
        <v>9490.9</v>
      </c>
      <c r="F355" s="9">
        <v>8990.9</v>
      </c>
      <c r="G355" s="9">
        <v>0</v>
      </c>
      <c r="H355" s="9">
        <v>500</v>
      </c>
      <c r="I355" s="9">
        <v>0</v>
      </c>
      <c r="J355" s="756"/>
      <c r="K355" s="757"/>
    </row>
    <row r="356" spans="1:11">
      <c r="A356" s="762"/>
      <c r="B356" s="760"/>
      <c r="C356" s="762"/>
      <c r="D356" s="48">
        <v>2018</v>
      </c>
      <c r="E356" s="8">
        <f t="shared" si="27"/>
        <v>0</v>
      </c>
      <c r="F356" s="9">
        <v>0</v>
      </c>
      <c r="G356" s="9">
        <v>0</v>
      </c>
      <c r="H356" s="9">
        <v>0</v>
      </c>
      <c r="I356" s="9">
        <v>0</v>
      </c>
      <c r="J356" s="756"/>
      <c r="K356" s="757"/>
    </row>
    <row r="357" spans="1:11">
      <c r="A357" s="762"/>
      <c r="B357" s="760"/>
      <c r="C357" s="762"/>
      <c r="D357" s="48">
        <v>2019</v>
      </c>
      <c r="E357" s="8">
        <f t="shared" si="27"/>
        <v>0</v>
      </c>
      <c r="F357" s="9">
        <v>0</v>
      </c>
      <c r="G357" s="9">
        <v>0</v>
      </c>
      <c r="H357" s="9">
        <v>0</v>
      </c>
      <c r="I357" s="9">
        <v>0</v>
      </c>
      <c r="J357" s="756"/>
      <c r="K357" s="757"/>
    </row>
    <row r="358" spans="1:11">
      <c r="A358" s="762"/>
      <c r="B358" s="760"/>
      <c r="C358" s="762"/>
      <c r="D358" s="48">
        <v>2020</v>
      </c>
      <c r="E358" s="8">
        <f>SUM(F358:I358)</f>
        <v>0</v>
      </c>
      <c r="F358" s="9">
        <v>0</v>
      </c>
      <c r="G358" s="9">
        <v>0</v>
      </c>
      <c r="H358" s="9">
        <v>0</v>
      </c>
      <c r="I358" s="9">
        <v>0</v>
      </c>
      <c r="J358" s="756"/>
      <c r="K358" s="757"/>
    </row>
    <row r="359" spans="1:11" ht="15" customHeight="1">
      <c r="A359" s="762" t="s">
        <v>246</v>
      </c>
      <c r="B359" s="760" t="s">
        <v>247</v>
      </c>
      <c r="C359" s="762">
        <v>2017</v>
      </c>
      <c r="D359" s="37" t="s">
        <v>8</v>
      </c>
      <c r="E359" s="8">
        <f t="shared" si="27"/>
        <v>2086.5</v>
      </c>
      <c r="F359" s="8">
        <f>SUM(F360:F364)</f>
        <v>1936.5</v>
      </c>
      <c r="G359" s="8">
        <f>SUM(G360:G364)</f>
        <v>0</v>
      </c>
      <c r="H359" s="8">
        <f>SUM(H360:H364)</f>
        <v>150</v>
      </c>
      <c r="I359" s="8">
        <f>SUM(I360:I364)</f>
        <v>0</v>
      </c>
      <c r="J359" s="756" t="s">
        <v>248</v>
      </c>
      <c r="K359" s="757" t="s">
        <v>113</v>
      </c>
    </row>
    <row r="360" spans="1:11">
      <c r="A360" s="762"/>
      <c r="B360" s="760"/>
      <c r="C360" s="762"/>
      <c r="D360" s="37">
        <v>2016</v>
      </c>
      <c r="E360" s="8">
        <f t="shared" si="27"/>
        <v>0</v>
      </c>
      <c r="F360" s="9">
        <v>0</v>
      </c>
      <c r="G360" s="9">
        <v>0</v>
      </c>
      <c r="H360" s="9">
        <v>0</v>
      </c>
      <c r="I360" s="9">
        <v>0</v>
      </c>
      <c r="J360" s="756"/>
      <c r="K360" s="757"/>
    </row>
    <row r="361" spans="1:11">
      <c r="A361" s="762"/>
      <c r="B361" s="760"/>
      <c r="C361" s="762"/>
      <c r="D361" s="37">
        <v>2017</v>
      </c>
      <c r="E361" s="8">
        <f t="shared" si="27"/>
        <v>2086.5</v>
      </c>
      <c r="F361" s="9">
        <v>1936.5</v>
      </c>
      <c r="G361" s="9">
        <v>0</v>
      </c>
      <c r="H361" s="9">
        <v>150</v>
      </c>
      <c r="I361" s="9">
        <v>0</v>
      </c>
      <c r="J361" s="756"/>
      <c r="K361" s="757"/>
    </row>
    <row r="362" spans="1:11">
      <c r="A362" s="762"/>
      <c r="B362" s="760"/>
      <c r="C362" s="762"/>
      <c r="D362" s="48">
        <v>2018</v>
      </c>
      <c r="E362" s="8">
        <f t="shared" si="27"/>
        <v>0</v>
      </c>
      <c r="F362" s="9">
        <v>0</v>
      </c>
      <c r="G362" s="9">
        <v>0</v>
      </c>
      <c r="H362" s="9">
        <v>0</v>
      </c>
      <c r="I362" s="9">
        <v>0</v>
      </c>
      <c r="J362" s="756"/>
      <c r="K362" s="757"/>
    </row>
    <row r="363" spans="1:11">
      <c r="A363" s="762"/>
      <c r="B363" s="760"/>
      <c r="C363" s="762"/>
      <c r="D363" s="48">
        <v>2019</v>
      </c>
      <c r="E363" s="8">
        <f t="shared" si="27"/>
        <v>0</v>
      </c>
      <c r="F363" s="9">
        <v>0</v>
      </c>
      <c r="G363" s="9">
        <v>0</v>
      </c>
      <c r="H363" s="9">
        <v>0</v>
      </c>
      <c r="I363" s="9">
        <v>0</v>
      </c>
      <c r="J363" s="756"/>
      <c r="K363" s="757"/>
    </row>
    <row r="364" spans="1:11">
      <c r="A364" s="762"/>
      <c r="B364" s="760"/>
      <c r="C364" s="762"/>
      <c r="D364" s="48">
        <v>2020</v>
      </c>
      <c r="E364" s="8">
        <f>SUM(F364:I364)</f>
        <v>0</v>
      </c>
      <c r="F364" s="9">
        <v>0</v>
      </c>
      <c r="G364" s="9">
        <v>0</v>
      </c>
      <c r="H364" s="9">
        <v>0</v>
      </c>
      <c r="I364" s="9">
        <v>0</v>
      </c>
      <c r="J364" s="756"/>
      <c r="K364" s="757"/>
    </row>
    <row r="365" spans="1:11" ht="15" customHeight="1">
      <c r="A365" s="762" t="s">
        <v>249</v>
      </c>
      <c r="B365" s="760" t="s">
        <v>165</v>
      </c>
      <c r="C365" s="762">
        <v>2017</v>
      </c>
      <c r="D365" s="37" t="s">
        <v>8</v>
      </c>
      <c r="E365" s="8">
        <f t="shared" si="27"/>
        <v>25409</v>
      </c>
      <c r="F365" s="8">
        <f>SUM(F366:F370)</f>
        <v>23838.2</v>
      </c>
      <c r="G365" s="8">
        <f>SUM(G366:G370)</f>
        <v>0</v>
      </c>
      <c r="H365" s="8">
        <f>SUM(H366:H370)</f>
        <v>1570.8</v>
      </c>
      <c r="I365" s="8">
        <f>SUM(I366:I370)</f>
        <v>0</v>
      </c>
      <c r="J365" s="756" t="s">
        <v>166</v>
      </c>
      <c r="K365" s="757" t="s">
        <v>113</v>
      </c>
    </row>
    <row r="366" spans="1:11">
      <c r="A366" s="762"/>
      <c r="B366" s="760"/>
      <c r="C366" s="762"/>
      <c r="D366" s="37">
        <v>2016</v>
      </c>
      <c r="E366" s="8">
        <f t="shared" si="27"/>
        <v>0</v>
      </c>
      <c r="F366" s="9">
        <v>0</v>
      </c>
      <c r="G366" s="9">
        <v>0</v>
      </c>
      <c r="H366" s="9">
        <v>0</v>
      </c>
      <c r="I366" s="9">
        <v>0</v>
      </c>
      <c r="J366" s="756"/>
      <c r="K366" s="757"/>
    </row>
    <row r="367" spans="1:11">
      <c r="A367" s="762"/>
      <c r="B367" s="760"/>
      <c r="C367" s="762"/>
      <c r="D367" s="37">
        <v>2017</v>
      </c>
      <c r="E367" s="8">
        <f t="shared" si="27"/>
        <v>25409</v>
      </c>
      <c r="F367" s="9">
        <v>23838.2</v>
      </c>
      <c r="G367" s="9">
        <v>0</v>
      </c>
      <c r="H367" s="9">
        <v>1570.8</v>
      </c>
      <c r="I367" s="9">
        <v>0</v>
      </c>
      <c r="J367" s="756"/>
      <c r="K367" s="757"/>
    </row>
    <row r="368" spans="1:11">
      <c r="A368" s="762"/>
      <c r="B368" s="760"/>
      <c r="C368" s="762"/>
      <c r="D368" s="48">
        <v>2018</v>
      </c>
      <c r="E368" s="8">
        <f t="shared" si="27"/>
        <v>0</v>
      </c>
      <c r="F368" s="9">
        <v>0</v>
      </c>
      <c r="G368" s="9">
        <v>0</v>
      </c>
      <c r="H368" s="9">
        <v>0</v>
      </c>
      <c r="I368" s="9">
        <v>0</v>
      </c>
      <c r="J368" s="756"/>
      <c r="K368" s="757"/>
    </row>
    <row r="369" spans="1:11">
      <c r="A369" s="762"/>
      <c r="B369" s="760"/>
      <c r="C369" s="762"/>
      <c r="D369" s="48">
        <v>2019</v>
      </c>
      <c r="E369" s="8">
        <f t="shared" si="27"/>
        <v>0</v>
      </c>
      <c r="F369" s="9">
        <v>0</v>
      </c>
      <c r="G369" s="9">
        <v>0</v>
      </c>
      <c r="H369" s="9">
        <v>0</v>
      </c>
      <c r="I369" s="9">
        <v>0</v>
      </c>
      <c r="J369" s="756"/>
      <c r="K369" s="757"/>
    </row>
    <row r="370" spans="1:11">
      <c r="A370" s="762"/>
      <c r="B370" s="760"/>
      <c r="C370" s="762"/>
      <c r="D370" s="48">
        <v>2020</v>
      </c>
      <c r="E370" s="8">
        <f t="shared" si="27"/>
        <v>0</v>
      </c>
      <c r="F370" s="9">
        <v>0</v>
      </c>
      <c r="G370" s="9">
        <v>0</v>
      </c>
      <c r="H370" s="9">
        <v>0</v>
      </c>
      <c r="I370" s="9">
        <v>0</v>
      </c>
      <c r="J370" s="756"/>
      <c r="K370" s="757"/>
    </row>
    <row r="371" spans="1:11" ht="15" customHeight="1">
      <c r="A371" s="762" t="s">
        <v>250</v>
      </c>
      <c r="B371" s="760" t="s">
        <v>167</v>
      </c>
      <c r="C371" s="762">
        <v>2017</v>
      </c>
      <c r="D371" s="37" t="s">
        <v>8</v>
      </c>
      <c r="E371" s="8">
        <f t="shared" si="27"/>
        <v>10000</v>
      </c>
      <c r="F371" s="8">
        <f>SUM(F372:F376)</f>
        <v>9500</v>
      </c>
      <c r="G371" s="8">
        <f>SUM(G372:G376)</f>
        <v>0</v>
      </c>
      <c r="H371" s="8">
        <f>SUM(H372:H376)</f>
        <v>500</v>
      </c>
      <c r="I371" s="8">
        <f>SUM(I372:I376)</f>
        <v>0</v>
      </c>
      <c r="J371" s="756" t="s">
        <v>168</v>
      </c>
      <c r="K371" s="757" t="s">
        <v>169</v>
      </c>
    </row>
    <row r="372" spans="1:11">
      <c r="A372" s="762"/>
      <c r="B372" s="760"/>
      <c r="C372" s="762"/>
      <c r="D372" s="37">
        <v>2016</v>
      </c>
      <c r="E372" s="8">
        <f t="shared" si="27"/>
        <v>0</v>
      </c>
      <c r="F372" s="9">
        <v>0</v>
      </c>
      <c r="G372" s="9">
        <v>0</v>
      </c>
      <c r="H372" s="9">
        <v>0</v>
      </c>
      <c r="I372" s="9">
        <v>0</v>
      </c>
      <c r="J372" s="756"/>
      <c r="K372" s="757"/>
    </row>
    <row r="373" spans="1:11">
      <c r="A373" s="762"/>
      <c r="B373" s="760"/>
      <c r="C373" s="762"/>
      <c r="D373" s="37">
        <v>2017</v>
      </c>
      <c r="E373" s="8">
        <f t="shared" si="27"/>
        <v>10000</v>
      </c>
      <c r="F373" s="9">
        <v>9500</v>
      </c>
      <c r="G373" s="9">
        <v>0</v>
      </c>
      <c r="H373" s="9">
        <v>500</v>
      </c>
      <c r="I373" s="9">
        <v>0</v>
      </c>
      <c r="J373" s="756"/>
      <c r="K373" s="757"/>
    </row>
    <row r="374" spans="1:11">
      <c r="A374" s="762"/>
      <c r="B374" s="760"/>
      <c r="C374" s="762"/>
      <c r="D374" s="48">
        <v>2018</v>
      </c>
      <c r="E374" s="8">
        <f t="shared" si="27"/>
        <v>0</v>
      </c>
      <c r="F374" s="9">
        <v>0</v>
      </c>
      <c r="G374" s="9">
        <v>0</v>
      </c>
      <c r="H374" s="9">
        <v>0</v>
      </c>
      <c r="I374" s="9">
        <v>0</v>
      </c>
      <c r="J374" s="756"/>
      <c r="K374" s="757"/>
    </row>
    <row r="375" spans="1:11">
      <c r="A375" s="762"/>
      <c r="B375" s="760"/>
      <c r="C375" s="762"/>
      <c r="D375" s="48">
        <v>2019</v>
      </c>
      <c r="E375" s="8">
        <f t="shared" si="27"/>
        <v>0</v>
      </c>
      <c r="F375" s="9">
        <v>0</v>
      </c>
      <c r="G375" s="9">
        <v>0</v>
      </c>
      <c r="H375" s="9">
        <v>0</v>
      </c>
      <c r="I375" s="9">
        <v>0</v>
      </c>
      <c r="J375" s="756"/>
      <c r="K375" s="757"/>
    </row>
    <row r="376" spans="1:11">
      <c r="A376" s="762"/>
      <c r="B376" s="760"/>
      <c r="C376" s="762"/>
      <c r="D376" s="48">
        <v>2020</v>
      </c>
      <c r="E376" s="8">
        <f t="shared" si="27"/>
        <v>0</v>
      </c>
      <c r="F376" s="9">
        <v>0</v>
      </c>
      <c r="G376" s="9">
        <v>0</v>
      </c>
      <c r="H376" s="9">
        <v>0</v>
      </c>
      <c r="I376" s="9">
        <v>0</v>
      </c>
      <c r="J376" s="756"/>
      <c r="K376" s="757"/>
    </row>
    <row r="377" spans="1:11" s="2" customFormat="1" ht="15" customHeight="1">
      <c r="A377" s="762" t="s">
        <v>251</v>
      </c>
      <c r="B377" s="760" t="s">
        <v>252</v>
      </c>
      <c r="C377" s="762">
        <v>2018</v>
      </c>
      <c r="D377" s="51" t="s">
        <v>8</v>
      </c>
      <c r="E377" s="8">
        <f t="shared" si="27"/>
        <v>6633.9</v>
      </c>
      <c r="F377" s="8">
        <f>SUM(F378:F382)</f>
        <v>6302.2</v>
      </c>
      <c r="G377" s="8">
        <f>SUM(G378:G382)</f>
        <v>0</v>
      </c>
      <c r="H377" s="8">
        <f>SUM(H378:H382)</f>
        <v>331.7</v>
      </c>
      <c r="I377" s="8">
        <f>SUM(I378:I382)</f>
        <v>0</v>
      </c>
      <c r="J377" s="756" t="s">
        <v>253</v>
      </c>
      <c r="K377" s="757" t="s">
        <v>113</v>
      </c>
    </row>
    <row r="378" spans="1:11" s="2" customFormat="1">
      <c r="A378" s="762"/>
      <c r="B378" s="760"/>
      <c r="C378" s="762"/>
      <c r="D378" s="51">
        <v>2016</v>
      </c>
      <c r="E378" s="8">
        <f t="shared" si="27"/>
        <v>0</v>
      </c>
      <c r="F378" s="9">
        <v>0</v>
      </c>
      <c r="G378" s="9">
        <v>0</v>
      </c>
      <c r="H378" s="9">
        <v>0</v>
      </c>
      <c r="I378" s="9">
        <v>0</v>
      </c>
      <c r="J378" s="756"/>
      <c r="K378" s="757"/>
    </row>
    <row r="379" spans="1:11" s="2" customFormat="1">
      <c r="A379" s="762"/>
      <c r="B379" s="760"/>
      <c r="C379" s="762"/>
      <c r="D379" s="51">
        <v>2017</v>
      </c>
      <c r="E379" s="8">
        <f t="shared" si="27"/>
        <v>0</v>
      </c>
      <c r="F379" s="9">
        <v>0</v>
      </c>
      <c r="G379" s="9">
        <v>0</v>
      </c>
      <c r="H379" s="9">
        <v>0</v>
      </c>
      <c r="I379" s="9">
        <v>0</v>
      </c>
      <c r="J379" s="756"/>
      <c r="K379" s="757"/>
    </row>
    <row r="380" spans="1:11" s="2" customFormat="1">
      <c r="A380" s="762"/>
      <c r="B380" s="760"/>
      <c r="C380" s="762"/>
      <c r="D380" s="44">
        <v>2018</v>
      </c>
      <c r="E380" s="8">
        <f t="shared" si="27"/>
        <v>6633.9</v>
      </c>
      <c r="F380" s="9">
        <v>6302.2</v>
      </c>
      <c r="G380" s="9">
        <v>0</v>
      </c>
      <c r="H380" s="9">
        <v>331.7</v>
      </c>
      <c r="I380" s="9">
        <v>0</v>
      </c>
      <c r="J380" s="756"/>
      <c r="K380" s="757"/>
    </row>
    <row r="381" spans="1:11" s="2" customFormat="1">
      <c r="A381" s="762"/>
      <c r="B381" s="760"/>
      <c r="C381" s="762"/>
      <c r="D381" s="44">
        <v>2019</v>
      </c>
      <c r="E381" s="8">
        <f t="shared" si="27"/>
        <v>0</v>
      </c>
      <c r="F381" s="9">
        <v>0</v>
      </c>
      <c r="G381" s="9">
        <v>0</v>
      </c>
      <c r="H381" s="9">
        <v>0</v>
      </c>
      <c r="I381" s="9">
        <v>0</v>
      </c>
      <c r="J381" s="756"/>
      <c r="K381" s="757"/>
    </row>
    <row r="382" spans="1:11" s="2" customFormat="1">
      <c r="A382" s="762"/>
      <c r="B382" s="760"/>
      <c r="C382" s="762"/>
      <c r="D382" s="44">
        <v>2020</v>
      </c>
      <c r="E382" s="8">
        <f t="shared" si="27"/>
        <v>0</v>
      </c>
      <c r="F382" s="9">
        <v>0</v>
      </c>
      <c r="G382" s="9">
        <v>0</v>
      </c>
      <c r="H382" s="9">
        <v>0</v>
      </c>
      <c r="I382" s="9">
        <v>0</v>
      </c>
      <c r="J382" s="756"/>
      <c r="K382" s="757"/>
    </row>
    <row r="383" spans="1:11" s="2" customFormat="1" ht="15" customHeight="1">
      <c r="A383" s="762" t="s">
        <v>254</v>
      </c>
      <c r="B383" s="760" t="s">
        <v>255</v>
      </c>
      <c r="C383" s="762" t="s">
        <v>256</v>
      </c>
      <c r="D383" s="51" t="s">
        <v>8</v>
      </c>
      <c r="E383" s="8">
        <f t="shared" si="27"/>
        <v>75252.3</v>
      </c>
      <c r="F383" s="8">
        <f>SUM(F384:F388)</f>
        <v>70586.600000000006</v>
      </c>
      <c r="G383" s="8">
        <f>SUM(G384:G388)</f>
        <v>0</v>
      </c>
      <c r="H383" s="8">
        <f>SUM(H384:H388)</f>
        <v>4665.7</v>
      </c>
      <c r="I383" s="8">
        <f>SUM(I384:I388)</f>
        <v>0</v>
      </c>
      <c r="J383" s="756" t="s">
        <v>257</v>
      </c>
      <c r="K383" s="757" t="s">
        <v>169</v>
      </c>
    </row>
    <row r="384" spans="1:11" s="2" customFormat="1">
      <c r="A384" s="762"/>
      <c r="B384" s="760"/>
      <c r="C384" s="762"/>
      <c r="D384" s="51">
        <v>2016</v>
      </c>
      <c r="E384" s="8">
        <f t="shared" si="27"/>
        <v>0</v>
      </c>
      <c r="F384" s="9">
        <v>0</v>
      </c>
      <c r="G384" s="9">
        <v>0</v>
      </c>
      <c r="H384" s="9">
        <v>0</v>
      </c>
      <c r="I384" s="9">
        <v>0</v>
      </c>
      <c r="J384" s="756"/>
      <c r="K384" s="757"/>
    </row>
    <row r="385" spans="1:11" s="2" customFormat="1">
      <c r="A385" s="762"/>
      <c r="B385" s="760"/>
      <c r="C385" s="762"/>
      <c r="D385" s="51">
        <v>2017</v>
      </c>
      <c r="E385" s="8">
        <f t="shared" si="27"/>
        <v>0</v>
      </c>
      <c r="F385" s="9">
        <v>0</v>
      </c>
      <c r="G385" s="9">
        <v>0</v>
      </c>
      <c r="H385" s="9">
        <v>0</v>
      </c>
      <c r="I385" s="9">
        <v>0</v>
      </c>
      <c r="J385" s="756"/>
      <c r="K385" s="757"/>
    </row>
    <row r="386" spans="1:11" s="2" customFormat="1">
      <c r="A386" s="762"/>
      <c r="B386" s="760"/>
      <c r="C386" s="762"/>
      <c r="D386" s="44">
        <v>2018</v>
      </c>
      <c r="E386" s="8">
        <f t="shared" si="27"/>
        <v>18773.5</v>
      </c>
      <c r="F386" s="9">
        <v>17609.5</v>
      </c>
      <c r="G386" s="9">
        <v>0</v>
      </c>
      <c r="H386" s="9">
        <v>1164</v>
      </c>
      <c r="I386" s="9">
        <v>0</v>
      </c>
      <c r="J386" s="756"/>
      <c r="K386" s="757"/>
    </row>
    <row r="387" spans="1:11" s="2" customFormat="1">
      <c r="A387" s="762"/>
      <c r="B387" s="760"/>
      <c r="C387" s="762"/>
      <c r="D387" s="44">
        <v>2019</v>
      </c>
      <c r="E387" s="8">
        <f t="shared" si="27"/>
        <v>56478.799999999996</v>
      </c>
      <c r="F387" s="9">
        <v>52977.1</v>
      </c>
      <c r="G387" s="9">
        <v>0</v>
      </c>
      <c r="H387" s="9">
        <v>3501.7</v>
      </c>
      <c r="I387" s="9">
        <v>0</v>
      </c>
      <c r="J387" s="756"/>
      <c r="K387" s="757"/>
    </row>
    <row r="388" spans="1:11" s="2" customFormat="1">
      <c r="A388" s="762"/>
      <c r="B388" s="760"/>
      <c r="C388" s="762"/>
      <c r="D388" s="44">
        <v>2020</v>
      </c>
      <c r="E388" s="8">
        <f t="shared" si="27"/>
        <v>0</v>
      </c>
      <c r="F388" s="9">
        <v>0</v>
      </c>
      <c r="G388" s="9">
        <v>0</v>
      </c>
      <c r="H388" s="9">
        <v>0</v>
      </c>
      <c r="I388" s="9">
        <v>0</v>
      </c>
      <c r="J388" s="756"/>
      <c r="K388" s="757"/>
    </row>
    <row r="389" spans="1:11" s="2" customFormat="1" ht="15" customHeight="1">
      <c r="A389" s="762" t="s">
        <v>258</v>
      </c>
      <c r="B389" s="760" t="s">
        <v>259</v>
      </c>
      <c r="C389" s="762">
        <v>2018</v>
      </c>
      <c r="D389" s="51" t="s">
        <v>8</v>
      </c>
      <c r="E389" s="8">
        <f t="shared" si="27"/>
        <v>11650.4</v>
      </c>
      <c r="F389" s="8">
        <f>SUM(F390:F394)</f>
        <v>11067.9</v>
      </c>
      <c r="G389" s="8">
        <f>SUM(G390:G394)</f>
        <v>0</v>
      </c>
      <c r="H389" s="8">
        <f>SUM(H390:H394)</f>
        <v>582.5</v>
      </c>
      <c r="I389" s="8">
        <f>SUM(I390:I394)</f>
        <v>0</v>
      </c>
      <c r="J389" s="756" t="s">
        <v>260</v>
      </c>
      <c r="K389" s="757" t="s">
        <v>169</v>
      </c>
    </row>
    <row r="390" spans="1:11" s="2" customFormat="1">
      <c r="A390" s="762"/>
      <c r="B390" s="760"/>
      <c r="C390" s="762"/>
      <c r="D390" s="51">
        <v>2016</v>
      </c>
      <c r="E390" s="8">
        <f t="shared" si="27"/>
        <v>0</v>
      </c>
      <c r="F390" s="9">
        <v>0</v>
      </c>
      <c r="G390" s="9">
        <v>0</v>
      </c>
      <c r="H390" s="9">
        <v>0</v>
      </c>
      <c r="I390" s="9">
        <v>0</v>
      </c>
      <c r="J390" s="756"/>
      <c r="K390" s="757"/>
    </row>
    <row r="391" spans="1:11" s="2" customFormat="1">
      <c r="A391" s="762"/>
      <c r="B391" s="760"/>
      <c r="C391" s="762"/>
      <c r="D391" s="51">
        <v>2017</v>
      </c>
      <c r="E391" s="8">
        <f t="shared" si="27"/>
        <v>0</v>
      </c>
      <c r="F391" s="9">
        <v>0</v>
      </c>
      <c r="G391" s="9">
        <v>0</v>
      </c>
      <c r="H391" s="9">
        <v>0</v>
      </c>
      <c r="I391" s="9">
        <v>0</v>
      </c>
      <c r="J391" s="756"/>
      <c r="K391" s="757"/>
    </row>
    <row r="392" spans="1:11" s="2" customFormat="1">
      <c r="A392" s="762"/>
      <c r="B392" s="760"/>
      <c r="C392" s="762"/>
      <c r="D392" s="44">
        <v>2018</v>
      </c>
      <c r="E392" s="8">
        <f t="shared" si="27"/>
        <v>11650.4</v>
      </c>
      <c r="F392" s="9">
        <v>11067.9</v>
      </c>
      <c r="G392" s="9">
        <v>0</v>
      </c>
      <c r="H392" s="9">
        <v>582.5</v>
      </c>
      <c r="I392" s="9">
        <v>0</v>
      </c>
      <c r="J392" s="756"/>
      <c r="K392" s="757"/>
    </row>
    <row r="393" spans="1:11" s="2" customFormat="1">
      <c r="A393" s="762"/>
      <c r="B393" s="760"/>
      <c r="C393" s="762"/>
      <c r="D393" s="44">
        <v>2019</v>
      </c>
      <c r="E393" s="8">
        <f t="shared" si="27"/>
        <v>0</v>
      </c>
      <c r="F393" s="9">
        <v>0</v>
      </c>
      <c r="G393" s="9">
        <v>0</v>
      </c>
      <c r="H393" s="9">
        <v>0</v>
      </c>
      <c r="I393" s="9">
        <v>0</v>
      </c>
      <c r="J393" s="756"/>
      <c r="K393" s="757"/>
    </row>
    <row r="394" spans="1:11" s="2" customFormat="1">
      <c r="A394" s="762"/>
      <c r="B394" s="760"/>
      <c r="C394" s="762"/>
      <c r="D394" s="44">
        <v>2020</v>
      </c>
      <c r="E394" s="8">
        <f t="shared" si="27"/>
        <v>0</v>
      </c>
      <c r="F394" s="9">
        <v>0</v>
      </c>
      <c r="G394" s="9">
        <v>0</v>
      </c>
      <c r="H394" s="9">
        <v>0</v>
      </c>
      <c r="I394" s="9">
        <v>0</v>
      </c>
      <c r="J394" s="756"/>
      <c r="K394" s="757"/>
    </row>
    <row r="395" spans="1:11" s="2" customFormat="1" ht="15" customHeight="1">
      <c r="A395" s="762" t="s">
        <v>261</v>
      </c>
      <c r="B395" s="760" t="s">
        <v>262</v>
      </c>
      <c r="C395" s="762">
        <v>2018</v>
      </c>
      <c r="D395" s="51" t="s">
        <v>8</v>
      </c>
      <c r="E395" s="8">
        <f t="shared" si="27"/>
        <v>8945.5</v>
      </c>
      <c r="F395" s="8">
        <f>SUM(F396:F400)</f>
        <v>8498.2000000000007</v>
      </c>
      <c r="G395" s="8">
        <f>SUM(G396:G400)</f>
        <v>0</v>
      </c>
      <c r="H395" s="8">
        <f>SUM(H396:H400)</f>
        <v>447.3</v>
      </c>
      <c r="I395" s="8">
        <f>SUM(I396:I400)</f>
        <v>0</v>
      </c>
      <c r="J395" s="756" t="s">
        <v>263</v>
      </c>
      <c r="K395" s="757" t="s">
        <v>169</v>
      </c>
    </row>
    <row r="396" spans="1:11" s="2" customFormat="1">
      <c r="A396" s="762"/>
      <c r="B396" s="760"/>
      <c r="C396" s="762"/>
      <c r="D396" s="51">
        <v>2016</v>
      </c>
      <c r="E396" s="8">
        <f t="shared" si="27"/>
        <v>0</v>
      </c>
      <c r="F396" s="9">
        <v>0</v>
      </c>
      <c r="G396" s="9">
        <v>0</v>
      </c>
      <c r="H396" s="9">
        <v>0</v>
      </c>
      <c r="I396" s="9">
        <v>0</v>
      </c>
      <c r="J396" s="756"/>
      <c r="K396" s="757"/>
    </row>
    <row r="397" spans="1:11" s="2" customFormat="1">
      <c r="A397" s="762"/>
      <c r="B397" s="760"/>
      <c r="C397" s="762"/>
      <c r="D397" s="51">
        <v>2017</v>
      </c>
      <c r="E397" s="8">
        <f t="shared" si="27"/>
        <v>0</v>
      </c>
      <c r="F397" s="9">
        <v>0</v>
      </c>
      <c r="G397" s="9">
        <v>0</v>
      </c>
      <c r="H397" s="9">
        <v>0</v>
      </c>
      <c r="I397" s="9">
        <v>0</v>
      </c>
      <c r="J397" s="756"/>
      <c r="K397" s="757"/>
    </row>
    <row r="398" spans="1:11" s="2" customFormat="1">
      <c r="A398" s="762"/>
      <c r="B398" s="760"/>
      <c r="C398" s="762"/>
      <c r="D398" s="44">
        <v>2018</v>
      </c>
      <c r="E398" s="8">
        <f t="shared" si="27"/>
        <v>8945.5</v>
      </c>
      <c r="F398" s="9">
        <v>8498.2000000000007</v>
      </c>
      <c r="G398" s="9">
        <v>0</v>
      </c>
      <c r="H398" s="9">
        <v>447.3</v>
      </c>
      <c r="I398" s="9">
        <v>0</v>
      </c>
      <c r="J398" s="756"/>
      <c r="K398" s="757"/>
    </row>
    <row r="399" spans="1:11" s="2" customFormat="1">
      <c r="A399" s="762"/>
      <c r="B399" s="760"/>
      <c r="C399" s="762"/>
      <c r="D399" s="44">
        <v>2019</v>
      </c>
      <c r="E399" s="8">
        <f t="shared" si="27"/>
        <v>0</v>
      </c>
      <c r="F399" s="9">
        <v>0</v>
      </c>
      <c r="G399" s="9">
        <v>0</v>
      </c>
      <c r="H399" s="9">
        <v>0</v>
      </c>
      <c r="I399" s="9">
        <v>0</v>
      </c>
      <c r="J399" s="756"/>
      <c r="K399" s="757"/>
    </row>
    <row r="400" spans="1:11" s="2" customFormat="1">
      <c r="A400" s="762"/>
      <c r="B400" s="760"/>
      <c r="C400" s="762"/>
      <c r="D400" s="44">
        <v>2020</v>
      </c>
      <c r="E400" s="8">
        <f t="shared" si="27"/>
        <v>0</v>
      </c>
      <c r="F400" s="9">
        <v>0</v>
      </c>
      <c r="G400" s="9">
        <v>0</v>
      </c>
      <c r="H400" s="9">
        <v>0</v>
      </c>
      <c r="I400" s="9">
        <v>0</v>
      </c>
      <c r="J400" s="756"/>
      <c r="K400" s="757"/>
    </row>
    <row r="401" spans="1:11" s="2" customFormat="1" ht="15" customHeight="1">
      <c r="A401" s="762" t="s">
        <v>264</v>
      </c>
      <c r="B401" s="760" t="s">
        <v>265</v>
      </c>
      <c r="C401" s="762">
        <v>2019</v>
      </c>
      <c r="D401" s="51" t="s">
        <v>8</v>
      </c>
      <c r="E401" s="8">
        <f t="shared" si="27"/>
        <v>10438.4</v>
      </c>
      <c r="F401" s="8">
        <f>SUM(F402:F406)</f>
        <v>8747.4</v>
      </c>
      <c r="G401" s="8">
        <f>SUM(G402:G406)</f>
        <v>0</v>
      </c>
      <c r="H401" s="8">
        <f>SUM(H402:H406)</f>
        <v>1691</v>
      </c>
      <c r="I401" s="8">
        <f>SUM(I402:I406)</f>
        <v>0</v>
      </c>
      <c r="J401" s="756" t="s">
        <v>266</v>
      </c>
      <c r="K401" s="757" t="s">
        <v>169</v>
      </c>
    </row>
    <row r="402" spans="1:11" s="2" customFormat="1">
      <c r="A402" s="762"/>
      <c r="B402" s="760"/>
      <c r="C402" s="762"/>
      <c r="D402" s="51">
        <v>2016</v>
      </c>
      <c r="E402" s="8">
        <f t="shared" si="27"/>
        <v>0</v>
      </c>
      <c r="F402" s="9">
        <v>0</v>
      </c>
      <c r="G402" s="9">
        <v>0</v>
      </c>
      <c r="H402" s="9">
        <v>0</v>
      </c>
      <c r="I402" s="9">
        <v>0</v>
      </c>
      <c r="J402" s="756"/>
      <c r="K402" s="757"/>
    </row>
    <row r="403" spans="1:11" s="2" customFormat="1">
      <c r="A403" s="762"/>
      <c r="B403" s="760"/>
      <c r="C403" s="762"/>
      <c r="D403" s="51">
        <v>2017</v>
      </c>
      <c r="E403" s="8">
        <f t="shared" si="27"/>
        <v>0</v>
      </c>
      <c r="F403" s="9">
        <v>0</v>
      </c>
      <c r="G403" s="9">
        <v>0</v>
      </c>
      <c r="H403" s="9">
        <v>0</v>
      </c>
      <c r="I403" s="9">
        <v>0</v>
      </c>
      <c r="J403" s="756"/>
      <c r="K403" s="757"/>
    </row>
    <row r="404" spans="1:11" s="2" customFormat="1">
      <c r="A404" s="762"/>
      <c r="B404" s="760"/>
      <c r="C404" s="762"/>
      <c r="D404" s="44">
        <v>2018</v>
      </c>
      <c r="E404" s="8">
        <f t="shared" si="27"/>
        <v>0</v>
      </c>
      <c r="F404" s="9">
        <v>0</v>
      </c>
      <c r="G404" s="9">
        <v>0</v>
      </c>
      <c r="H404" s="9">
        <v>0</v>
      </c>
      <c r="I404" s="9">
        <v>0</v>
      </c>
      <c r="J404" s="756"/>
      <c r="K404" s="757"/>
    </row>
    <row r="405" spans="1:11" s="2" customFormat="1">
      <c r="A405" s="762"/>
      <c r="B405" s="760"/>
      <c r="C405" s="762"/>
      <c r="D405" s="44">
        <v>2019</v>
      </c>
      <c r="E405" s="8">
        <f t="shared" ref="E405:E423" si="28">SUM(F405:I405)</f>
        <v>10438.4</v>
      </c>
      <c r="F405" s="9">
        <v>8747.4</v>
      </c>
      <c r="G405" s="9">
        <v>0</v>
      </c>
      <c r="H405" s="9">
        <v>1691</v>
      </c>
      <c r="I405" s="9">
        <v>0</v>
      </c>
      <c r="J405" s="756"/>
      <c r="K405" s="757"/>
    </row>
    <row r="406" spans="1:11" s="2" customFormat="1">
      <c r="A406" s="762"/>
      <c r="B406" s="760"/>
      <c r="C406" s="762"/>
      <c r="D406" s="44">
        <v>2020</v>
      </c>
      <c r="E406" s="8">
        <f t="shared" si="28"/>
        <v>0</v>
      </c>
      <c r="F406" s="9">
        <v>0</v>
      </c>
      <c r="G406" s="9">
        <v>0</v>
      </c>
      <c r="H406" s="9">
        <v>0</v>
      </c>
      <c r="I406" s="9">
        <v>0</v>
      </c>
      <c r="J406" s="756"/>
      <c r="K406" s="757"/>
    </row>
    <row r="407" spans="1:11" ht="15" customHeight="1">
      <c r="A407" s="753" t="s">
        <v>129</v>
      </c>
      <c r="B407" s="757" t="s">
        <v>130</v>
      </c>
      <c r="C407" s="755" t="s">
        <v>14</v>
      </c>
      <c r="D407" s="48" t="s">
        <v>8</v>
      </c>
      <c r="E407" s="8">
        <f t="shared" si="28"/>
        <v>134496</v>
      </c>
      <c r="F407" s="8">
        <f>SUM(F408:F412)</f>
        <v>134496</v>
      </c>
      <c r="G407" s="9">
        <v>0</v>
      </c>
      <c r="H407" s="9">
        <v>0</v>
      </c>
      <c r="I407" s="9">
        <v>0</v>
      </c>
      <c r="J407" s="759"/>
      <c r="K407" s="757" t="s">
        <v>26</v>
      </c>
    </row>
    <row r="408" spans="1:11">
      <c r="A408" s="753"/>
      <c r="B408" s="757"/>
      <c r="C408" s="755"/>
      <c r="D408" s="48">
        <v>2016</v>
      </c>
      <c r="E408" s="8">
        <f t="shared" si="28"/>
        <v>25539.5</v>
      </c>
      <c r="F408" s="9">
        <f>SUM(F414)</f>
        <v>25539.5</v>
      </c>
      <c r="G408" s="9">
        <v>0</v>
      </c>
      <c r="H408" s="9">
        <v>0</v>
      </c>
      <c r="I408" s="9">
        <v>0</v>
      </c>
      <c r="J408" s="759"/>
      <c r="K408" s="757"/>
    </row>
    <row r="409" spans="1:11">
      <c r="A409" s="753"/>
      <c r="B409" s="757"/>
      <c r="C409" s="755"/>
      <c r="D409" s="48">
        <v>2017</v>
      </c>
      <c r="E409" s="8">
        <f t="shared" si="28"/>
        <v>25743.200000000001</v>
      </c>
      <c r="F409" s="9">
        <f>SUM(F415)</f>
        <v>25743.200000000001</v>
      </c>
      <c r="G409" s="9">
        <v>0</v>
      </c>
      <c r="H409" s="9">
        <v>0</v>
      </c>
      <c r="I409" s="9">
        <v>0</v>
      </c>
      <c r="J409" s="759"/>
      <c r="K409" s="757"/>
    </row>
    <row r="410" spans="1:11">
      <c r="A410" s="753"/>
      <c r="B410" s="757"/>
      <c r="C410" s="755"/>
      <c r="D410" s="48">
        <v>2018</v>
      </c>
      <c r="E410" s="8">
        <f t="shared" si="28"/>
        <v>26717.8</v>
      </c>
      <c r="F410" s="9">
        <f>SUM(F416)</f>
        <v>26717.8</v>
      </c>
      <c r="G410" s="9">
        <v>0</v>
      </c>
      <c r="H410" s="9">
        <v>0</v>
      </c>
      <c r="I410" s="9">
        <v>0</v>
      </c>
      <c r="J410" s="759"/>
      <c r="K410" s="757"/>
    </row>
    <row r="411" spans="1:11">
      <c r="A411" s="753"/>
      <c r="B411" s="757"/>
      <c r="C411" s="755"/>
      <c r="D411" s="48">
        <v>2019</v>
      </c>
      <c r="E411" s="8">
        <f t="shared" si="28"/>
        <v>27726</v>
      </c>
      <c r="F411" s="9">
        <f>SUM(F417)</f>
        <v>27726</v>
      </c>
      <c r="G411" s="9">
        <v>0</v>
      </c>
      <c r="H411" s="9">
        <v>0</v>
      </c>
      <c r="I411" s="9">
        <v>0</v>
      </c>
      <c r="J411" s="759"/>
      <c r="K411" s="757"/>
    </row>
    <row r="412" spans="1:11">
      <c r="A412" s="753"/>
      <c r="B412" s="757"/>
      <c r="C412" s="755"/>
      <c r="D412" s="48">
        <v>2020</v>
      </c>
      <c r="E412" s="8">
        <f>SUM(F412:I412)</f>
        <v>28769.5</v>
      </c>
      <c r="F412" s="9">
        <f>SUM(F418)</f>
        <v>28769.5</v>
      </c>
      <c r="G412" s="9">
        <v>0</v>
      </c>
      <c r="H412" s="9">
        <v>0</v>
      </c>
      <c r="I412" s="9">
        <v>0</v>
      </c>
      <c r="J412" s="759"/>
      <c r="K412" s="757"/>
    </row>
    <row r="413" spans="1:11" ht="17.100000000000001" customHeight="1">
      <c r="A413" s="753" t="s">
        <v>131</v>
      </c>
      <c r="B413" s="760" t="s">
        <v>132</v>
      </c>
      <c r="C413" s="755" t="s">
        <v>14</v>
      </c>
      <c r="D413" s="48" t="s">
        <v>8</v>
      </c>
      <c r="E413" s="8">
        <f t="shared" si="28"/>
        <v>134496</v>
      </c>
      <c r="F413" s="8">
        <f>SUM(F414:F418)</f>
        <v>134496</v>
      </c>
      <c r="G413" s="8">
        <f>SUM(G414:G418)</f>
        <v>0</v>
      </c>
      <c r="H413" s="8">
        <f>SUM(H414:H418)</f>
        <v>0</v>
      </c>
      <c r="I413" s="8">
        <f>SUM(I414:I418)</f>
        <v>0</v>
      </c>
      <c r="J413" s="756" t="s">
        <v>133</v>
      </c>
      <c r="K413" s="757" t="s">
        <v>26</v>
      </c>
    </row>
    <row r="414" spans="1:11" ht="17.100000000000001" customHeight="1">
      <c r="A414" s="753"/>
      <c r="B414" s="760"/>
      <c r="C414" s="755"/>
      <c r="D414" s="48">
        <v>2016</v>
      </c>
      <c r="E414" s="8">
        <f t="shared" si="28"/>
        <v>25539.5</v>
      </c>
      <c r="F414" s="9">
        <f t="shared" ref="F414:I418" si="29">SUM(F420)</f>
        <v>25539.5</v>
      </c>
      <c r="G414" s="9">
        <f t="shared" si="29"/>
        <v>0</v>
      </c>
      <c r="H414" s="9">
        <f t="shared" si="29"/>
        <v>0</v>
      </c>
      <c r="I414" s="9">
        <f t="shared" si="29"/>
        <v>0</v>
      </c>
      <c r="J414" s="756"/>
      <c r="K414" s="757"/>
    </row>
    <row r="415" spans="1:11" ht="17.100000000000001" customHeight="1">
      <c r="A415" s="753"/>
      <c r="B415" s="760"/>
      <c r="C415" s="755"/>
      <c r="D415" s="48">
        <v>2017</v>
      </c>
      <c r="E415" s="8">
        <f t="shared" si="28"/>
        <v>25743.200000000001</v>
      </c>
      <c r="F415" s="9">
        <f t="shared" si="29"/>
        <v>25743.200000000001</v>
      </c>
      <c r="G415" s="9">
        <f t="shared" si="29"/>
        <v>0</v>
      </c>
      <c r="H415" s="9">
        <f t="shared" si="29"/>
        <v>0</v>
      </c>
      <c r="I415" s="9">
        <f t="shared" si="29"/>
        <v>0</v>
      </c>
      <c r="J415" s="756"/>
      <c r="K415" s="757"/>
    </row>
    <row r="416" spans="1:11" ht="17.100000000000001" customHeight="1">
      <c r="A416" s="753"/>
      <c r="B416" s="760"/>
      <c r="C416" s="755"/>
      <c r="D416" s="48">
        <v>2018</v>
      </c>
      <c r="E416" s="8">
        <f t="shared" si="28"/>
        <v>26717.8</v>
      </c>
      <c r="F416" s="9">
        <f t="shared" si="29"/>
        <v>26717.8</v>
      </c>
      <c r="G416" s="9">
        <f t="shared" si="29"/>
        <v>0</v>
      </c>
      <c r="H416" s="9">
        <f t="shared" si="29"/>
        <v>0</v>
      </c>
      <c r="I416" s="9">
        <f t="shared" si="29"/>
        <v>0</v>
      </c>
      <c r="J416" s="756"/>
      <c r="K416" s="757"/>
    </row>
    <row r="417" spans="1:11" ht="17.100000000000001" customHeight="1">
      <c r="A417" s="753"/>
      <c r="B417" s="760"/>
      <c r="C417" s="755"/>
      <c r="D417" s="48">
        <v>2019</v>
      </c>
      <c r="E417" s="8">
        <f t="shared" si="28"/>
        <v>27726</v>
      </c>
      <c r="F417" s="9">
        <f t="shared" si="29"/>
        <v>27726</v>
      </c>
      <c r="G417" s="9">
        <f t="shared" si="29"/>
        <v>0</v>
      </c>
      <c r="H417" s="9">
        <f t="shared" si="29"/>
        <v>0</v>
      </c>
      <c r="I417" s="9">
        <f t="shared" si="29"/>
        <v>0</v>
      </c>
      <c r="J417" s="756"/>
      <c r="K417" s="757"/>
    </row>
    <row r="418" spans="1:11" ht="17.100000000000001" customHeight="1">
      <c r="A418" s="753"/>
      <c r="B418" s="760"/>
      <c r="C418" s="755"/>
      <c r="D418" s="48">
        <v>2020</v>
      </c>
      <c r="E418" s="8">
        <f>SUM(F418:I418)</f>
        <v>28769.5</v>
      </c>
      <c r="F418" s="9">
        <f t="shared" si="29"/>
        <v>28769.5</v>
      </c>
      <c r="G418" s="9">
        <f t="shared" si="29"/>
        <v>0</v>
      </c>
      <c r="H418" s="9">
        <f t="shared" si="29"/>
        <v>0</v>
      </c>
      <c r="I418" s="9">
        <f t="shared" si="29"/>
        <v>0</v>
      </c>
      <c r="J418" s="756"/>
      <c r="K418" s="757"/>
    </row>
    <row r="419" spans="1:11" s="2" customFormat="1" ht="17.100000000000001" customHeight="1">
      <c r="A419" s="753" t="s">
        <v>134</v>
      </c>
      <c r="B419" s="754" t="s">
        <v>135</v>
      </c>
      <c r="C419" s="755" t="s">
        <v>14</v>
      </c>
      <c r="D419" s="48" t="s">
        <v>8</v>
      </c>
      <c r="E419" s="8">
        <f t="shared" si="28"/>
        <v>134496</v>
      </c>
      <c r="F419" s="8">
        <f>SUM(F420:F424)</f>
        <v>134496</v>
      </c>
      <c r="G419" s="9">
        <v>0</v>
      </c>
      <c r="H419" s="9">
        <v>0</v>
      </c>
      <c r="I419" s="9">
        <v>0</v>
      </c>
      <c r="J419" s="756" t="s">
        <v>136</v>
      </c>
      <c r="K419" s="757" t="s">
        <v>26</v>
      </c>
    </row>
    <row r="420" spans="1:11" s="2" customFormat="1" ht="17.100000000000001" customHeight="1">
      <c r="A420" s="753"/>
      <c r="B420" s="754"/>
      <c r="C420" s="755"/>
      <c r="D420" s="48">
        <v>2016</v>
      </c>
      <c r="E420" s="8">
        <f t="shared" si="28"/>
        <v>25539.5</v>
      </c>
      <c r="F420" s="9">
        <v>25539.5</v>
      </c>
      <c r="G420" s="9">
        <v>0</v>
      </c>
      <c r="H420" s="9">
        <v>0</v>
      </c>
      <c r="I420" s="9">
        <v>0</v>
      </c>
      <c r="J420" s="756"/>
      <c r="K420" s="757"/>
    </row>
    <row r="421" spans="1:11" s="2" customFormat="1" ht="17.100000000000001" customHeight="1">
      <c r="A421" s="753"/>
      <c r="B421" s="754"/>
      <c r="C421" s="755"/>
      <c r="D421" s="48">
        <v>2017</v>
      </c>
      <c r="E421" s="8">
        <f t="shared" si="28"/>
        <v>25743.200000000001</v>
      </c>
      <c r="F421" s="9">
        <v>25743.200000000001</v>
      </c>
      <c r="G421" s="9">
        <v>0</v>
      </c>
      <c r="H421" s="9">
        <v>0</v>
      </c>
      <c r="I421" s="9">
        <v>0</v>
      </c>
      <c r="J421" s="756"/>
      <c r="K421" s="757"/>
    </row>
    <row r="422" spans="1:11" s="2" customFormat="1" ht="17.100000000000001" customHeight="1">
      <c r="A422" s="753"/>
      <c r="B422" s="754"/>
      <c r="C422" s="755"/>
      <c r="D422" s="48">
        <v>2018</v>
      </c>
      <c r="E422" s="8">
        <f t="shared" si="28"/>
        <v>26717.8</v>
      </c>
      <c r="F422" s="9">
        <v>26717.8</v>
      </c>
      <c r="G422" s="9">
        <v>0</v>
      </c>
      <c r="H422" s="9">
        <v>0</v>
      </c>
      <c r="I422" s="9">
        <v>0</v>
      </c>
      <c r="J422" s="756"/>
      <c r="K422" s="757"/>
    </row>
    <row r="423" spans="1:11" s="2" customFormat="1" ht="17.100000000000001" customHeight="1">
      <c r="A423" s="753"/>
      <c r="B423" s="754"/>
      <c r="C423" s="755"/>
      <c r="D423" s="48">
        <v>2019</v>
      </c>
      <c r="E423" s="8">
        <f t="shared" si="28"/>
        <v>27726</v>
      </c>
      <c r="F423" s="9">
        <v>27726</v>
      </c>
      <c r="G423" s="9">
        <v>0</v>
      </c>
      <c r="H423" s="9">
        <v>0</v>
      </c>
      <c r="I423" s="9">
        <v>0</v>
      </c>
      <c r="J423" s="756"/>
      <c r="K423" s="757"/>
    </row>
    <row r="424" spans="1:11" s="52" customFormat="1" ht="17.100000000000001" customHeight="1">
      <c r="A424" s="753"/>
      <c r="B424" s="754"/>
      <c r="C424" s="755"/>
      <c r="D424" s="48">
        <v>2020</v>
      </c>
      <c r="E424" s="8">
        <f>SUM(F424:I424)</f>
        <v>28769.5</v>
      </c>
      <c r="F424" s="9">
        <v>28769.5</v>
      </c>
      <c r="G424" s="9">
        <v>0</v>
      </c>
      <c r="H424" s="9">
        <v>0</v>
      </c>
      <c r="I424" s="9">
        <v>0</v>
      </c>
      <c r="J424" s="756"/>
      <c r="K424" s="757"/>
    </row>
    <row r="425" spans="1:11" ht="17.100000000000001" customHeight="1">
      <c r="A425" s="758" t="s">
        <v>267</v>
      </c>
      <c r="B425" s="758"/>
      <c r="C425" s="758"/>
      <c r="D425" s="758"/>
      <c r="E425" s="758"/>
      <c r="F425" s="758"/>
      <c r="G425" s="758"/>
      <c r="H425" s="758"/>
      <c r="I425" s="758"/>
      <c r="J425" s="21"/>
      <c r="K425" s="22"/>
    </row>
    <row r="426" spans="1:11" ht="17.100000000000001" customHeight="1">
      <c r="A426" s="16"/>
      <c r="B426" s="17"/>
      <c r="C426" s="18"/>
      <c r="D426" s="38"/>
      <c r="E426" s="19"/>
      <c r="F426" s="20"/>
      <c r="G426" s="20"/>
      <c r="H426" s="20"/>
      <c r="I426" s="20"/>
      <c r="J426" s="21"/>
      <c r="K426" s="22"/>
    </row>
    <row r="427" spans="1:11" ht="17.100000000000001" customHeight="1">
      <c r="A427" s="16"/>
      <c r="B427" s="17"/>
      <c r="C427" s="18"/>
      <c r="D427" s="38"/>
      <c r="E427" s="23"/>
      <c r="F427" s="24"/>
      <c r="G427" s="24"/>
      <c r="H427" s="24"/>
      <c r="I427" s="20"/>
      <c r="J427" s="21"/>
      <c r="K427" s="22"/>
    </row>
    <row r="428" spans="1:11" ht="17.100000000000001" customHeight="1">
      <c r="A428" s="16"/>
      <c r="B428" s="17"/>
      <c r="C428" s="18"/>
      <c r="D428" s="38"/>
      <c r="E428" s="19"/>
      <c r="F428" s="20"/>
      <c r="G428" s="20"/>
      <c r="H428" s="20"/>
      <c r="I428" s="20"/>
      <c r="J428" s="21"/>
      <c r="K428" s="22"/>
    </row>
    <row r="429" spans="1:11">
      <c r="A429" s="25"/>
      <c r="B429" s="26"/>
      <c r="C429" s="10"/>
      <c r="D429" s="39"/>
      <c r="E429" s="27"/>
      <c r="F429" s="28"/>
      <c r="G429" s="27"/>
      <c r="H429" s="27"/>
      <c r="I429" s="27"/>
      <c r="J429" s="29"/>
      <c r="K429" s="30"/>
    </row>
    <row r="430" spans="1:11">
      <c r="A430" s="31"/>
      <c r="B430" s="32"/>
      <c r="C430" s="31"/>
      <c r="D430" s="40"/>
      <c r="E430" s="33"/>
      <c r="F430" s="34"/>
      <c r="G430" s="33"/>
      <c r="H430" s="33"/>
      <c r="I430" s="33"/>
      <c r="J430" s="35"/>
      <c r="K430" s="32"/>
    </row>
  </sheetData>
  <mergeCells count="359">
    <mergeCell ref="A419:A424"/>
    <mergeCell ref="B419:B424"/>
    <mergeCell ref="C419:C424"/>
    <mergeCell ref="J419:J424"/>
    <mergeCell ref="K419:K424"/>
    <mergeCell ref="A425:I425"/>
    <mergeCell ref="A407:A412"/>
    <mergeCell ref="B407:B412"/>
    <mergeCell ref="C407:C412"/>
    <mergeCell ref="J407:J412"/>
    <mergeCell ref="K407:K412"/>
    <mergeCell ref="A413:A418"/>
    <mergeCell ref="B413:B418"/>
    <mergeCell ref="C413:C418"/>
    <mergeCell ref="J413:J418"/>
    <mergeCell ref="K413:K418"/>
    <mergeCell ref="A395:A400"/>
    <mergeCell ref="B395:B400"/>
    <mergeCell ref="C395:C400"/>
    <mergeCell ref="J395:J400"/>
    <mergeCell ref="K395:K400"/>
    <mergeCell ref="A401:A406"/>
    <mergeCell ref="B401:B406"/>
    <mergeCell ref="C401:C406"/>
    <mergeCell ref="J401:J406"/>
    <mergeCell ref="K401:K406"/>
    <mergeCell ref="A383:A388"/>
    <mergeCell ref="B383:B388"/>
    <mergeCell ref="C383:C388"/>
    <mergeCell ref="J383:J388"/>
    <mergeCell ref="K383:K388"/>
    <mergeCell ref="A389:A394"/>
    <mergeCell ref="B389:B394"/>
    <mergeCell ref="C389:C394"/>
    <mergeCell ref="J389:J394"/>
    <mergeCell ref="K389:K394"/>
    <mergeCell ref="A371:A376"/>
    <mergeCell ref="B371:B376"/>
    <mergeCell ref="C371:C376"/>
    <mergeCell ref="J371:J376"/>
    <mergeCell ref="K371:K376"/>
    <mergeCell ref="A377:A382"/>
    <mergeCell ref="B377:B382"/>
    <mergeCell ref="C377:C382"/>
    <mergeCell ref="J377:J382"/>
    <mergeCell ref="K377:K382"/>
    <mergeCell ref="A359:A364"/>
    <mergeCell ref="B359:B364"/>
    <mergeCell ref="C359:C364"/>
    <mergeCell ref="J359:J364"/>
    <mergeCell ref="K359:K364"/>
    <mergeCell ref="A365:A370"/>
    <mergeCell ref="B365:B370"/>
    <mergeCell ref="C365:C370"/>
    <mergeCell ref="J365:J370"/>
    <mergeCell ref="K365:K370"/>
    <mergeCell ref="A347:A352"/>
    <mergeCell ref="B347:B352"/>
    <mergeCell ref="C347:C352"/>
    <mergeCell ref="J347:J352"/>
    <mergeCell ref="K347:K352"/>
    <mergeCell ref="A353:A358"/>
    <mergeCell ref="B353:B358"/>
    <mergeCell ref="C353:C358"/>
    <mergeCell ref="J353:J358"/>
    <mergeCell ref="K353:K358"/>
    <mergeCell ref="A335:A340"/>
    <mergeCell ref="B335:B340"/>
    <mergeCell ref="C335:C340"/>
    <mergeCell ref="J335:J340"/>
    <mergeCell ref="K335:K340"/>
    <mergeCell ref="A341:A346"/>
    <mergeCell ref="B341:B346"/>
    <mergeCell ref="C341:C346"/>
    <mergeCell ref="J341:J346"/>
    <mergeCell ref="K341:K346"/>
    <mergeCell ref="A323:A328"/>
    <mergeCell ref="B323:B328"/>
    <mergeCell ref="C323:C328"/>
    <mergeCell ref="J323:J328"/>
    <mergeCell ref="K323:K328"/>
    <mergeCell ref="A329:A334"/>
    <mergeCell ref="B329:B334"/>
    <mergeCell ref="C329:C334"/>
    <mergeCell ref="J329:J334"/>
    <mergeCell ref="K329:K334"/>
    <mergeCell ref="A311:A316"/>
    <mergeCell ref="B311:B316"/>
    <mergeCell ref="C311:C316"/>
    <mergeCell ref="J311:J316"/>
    <mergeCell ref="K311:K316"/>
    <mergeCell ref="A317:A322"/>
    <mergeCell ref="B317:B322"/>
    <mergeCell ref="C317:C322"/>
    <mergeCell ref="J317:J322"/>
    <mergeCell ref="K317:K322"/>
    <mergeCell ref="A299:A304"/>
    <mergeCell ref="B299:B304"/>
    <mergeCell ref="C299:C304"/>
    <mergeCell ref="J299:J304"/>
    <mergeCell ref="K299:K304"/>
    <mergeCell ref="A305:A310"/>
    <mergeCell ref="B305:B310"/>
    <mergeCell ref="C305:C310"/>
    <mergeCell ref="J305:J310"/>
    <mergeCell ref="K305:K310"/>
    <mergeCell ref="L293:L297"/>
    <mergeCell ref="A281:A286"/>
    <mergeCell ref="B281:B286"/>
    <mergeCell ref="C281:C286"/>
    <mergeCell ref="J281:J286"/>
    <mergeCell ref="K281:K286"/>
    <mergeCell ref="A287:A292"/>
    <mergeCell ref="B287:B292"/>
    <mergeCell ref="C287:C292"/>
    <mergeCell ref="J287:J292"/>
    <mergeCell ref="K287:K292"/>
    <mergeCell ref="A275:A280"/>
    <mergeCell ref="B275:B280"/>
    <mergeCell ref="C275:C280"/>
    <mergeCell ref="J275:J280"/>
    <mergeCell ref="K275:K280"/>
    <mergeCell ref="A293:A298"/>
    <mergeCell ref="B293:B298"/>
    <mergeCell ref="C293:C298"/>
    <mergeCell ref="J293:J298"/>
    <mergeCell ref="K293:K298"/>
    <mergeCell ref="A263:A268"/>
    <mergeCell ref="B263:B268"/>
    <mergeCell ref="C263:C268"/>
    <mergeCell ref="J263:J268"/>
    <mergeCell ref="K263:K268"/>
    <mergeCell ref="A269:A274"/>
    <mergeCell ref="B269:B274"/>
    <mergeCell ref="C269:C274"/>
    <mergeCell ref="J269:J274"/>
    <mergeCell ref="K269:K274"/>
    <mergeCell ref="A251:A256"/>
    <mergeCell ref="B251:B256"/>
    <mergeCell ref="C251:C256"/>
    <mergeCell ref="J251:J256"/>
    <mergeCell ref="K251:K256"/>
    <mergeCell ref="A257:A262"/>
    <mergeCell ref="B257:B262"/>
    <mergeCell ref="C257:C262"/>
    <mergeCell ref="J257:J262"/>
    <mergeCell ref="K257:K262"/>
    <mergeCell ref="A239:A244"/>
    <mergeCell ref="B239:B244"/>
    <mergeCell ref="C239:C244"/>
    <mergeCell ref="J239:J244"/>
    <mergeCell ref="K239:K244"/>
    <mergeCell ref="A245:A250"/>
    <mergeCell ref="B245:B250"/>
    <mergeCell ref="C245:C250"/>
    <mergeCell ref="J245:J250"/>
    <mergeCell ref="K245:K250"/>
    <mergeCell ref="A227:A232"/>
    <mergeCell ref="B227:B232"/>
    <mergeCell ref="C227:C232"/>
    <mergeCell ref="J227:J232"/>
    <mergeCell ref="K227:K232"/>
    <mergeCell ref="A233:A238"/>
    <mergeCell ref="B233:B238"/>
    <mergeCell ref="C233:C238"/>
    <mergeCell ref="J233:J238"/>
    <mergeCell ref="K233:K238"/>
    <mergeCell ref="A215:A220"/>
    <mergeCell ref="B215:B220"/>
    <mergeCell ref="C215:C220"/>
    <mergeCell ref="J215:J220"/>
    <mergeCell ref="K215:K220"/>
    <mergeCell ref="A221:A226"/>
    <mergeCell ref="B221:B226"/>
    <mergeCell ref="C221:C226"/>
    <mergeCell ref="J221:J226"/>
    <mergeCell ref="K221:K226"/>
    <mergeCell ref="A203:A208"/>
    <mergeCell ref="B203:B208"/>
    <mergeCell ref="C203:C208"/>
    <mergeCell ref="J203:J208"/>
    <mergeCell ref="K203:K208"/>
    <mergeCell ref="A209:A214"/>
    <mergeCell ref="B209:B214"/>
    <mergeCell ref="C209:C214"/>
    <mergeCell ref="J209:J214"/>
    <mergeCell ref="K209:K214"/>
    <mergeCell ref="A191:A196"/>
    <mergeCell ref="B191:B196"/>
    <mergeCell ref="C191:C196"/>
    <mergeCell ref="J191:J196"/>
    <mergeCell ref="K191:K196"/>
    <mergeCell ref="A197:A202"/>
    <mergeCell ref="B197:B202"/>
    <mergeCell ref="C197:C202"/>
    <mergeCell ref="J197:J202"/>
    <mergeCell ref="K197:K202"/>
    <mergeCell ref="A179:A184"/>
    <mergeCell ref="B179:B184"/>
    <mergeCell ref="C179:C184"/>
    <mergeCell ref="J179:J184"/>
    <mergeCell ref="K179:K184"/>
    <mergeCell ref="A185:A190"/>
    <mergeCell ref="B185:B190"/>
    <mergeCell ref="C185:C190"/>
    <mergeCell ref="J185:J190"/>
    <mergeCell ref="K185:K190"/>
    <mergeCell ref="A167:A172"/>
    <mergeCell ref="B167:B172"/>
    <mergeCell ref="C167:C172"/>
    <mergeCell ref="J167:J172"/>
    <mergeCell ref="K167:K172"/>
    <mergeCell ref="A173:A178"/>
    <mergeCell ref="B173:B178"/>
    <mergeCell ref="C173:C178"/>
    <mergeCell ref="J173:J178"/>
    <mergeCell ref="K173:K178"/>
    <mergeCell ref="A155:A160"/>
    <mergeCell ref="B155:B160"/>
    <mergeCell ref="C155:C160"/>
    <mergeCell ref="J155:J160"/>
    <mergeCell ref="K155:K160"/>
    <mergeCell ref="A161:A166"/>
    <mergeCell ref="B161:B166"/>
    <mergeCell ref="C161:C166"/>
    <mergeCell ref="J161:J166"/>
    <mergeCell ref="K161:K166"/>
    <mergeCell ref="A143:A148"/>
    <mergeCell ref="B143:B148"/>
    <mergeCell ref="C143:C148"/>
    <mergeCell ref="J143:J148"/>
    <mergeCell ref="K143:K148"/>
    <mergeCell ref="A149:A154"/>
    <mergeCell ref="B149:B154"/>
    <mergeCell ref="C149:C154"/>
    <mergeCell ref="J149:J154"/>
    <mergeCell ref="K149:K154"/>
    <mergeCell ref="A131:A136"/>
    <mergeCell ref="B131:B136"/>
    <mergeCell ref="C131:C136"/>
    <mergeCell ref="J131:J136"/>
    <mergeCell ref="K131:K136"/>
    <mergeCell ref="A137:A142"/>
    <mergeCell ref="B137:B142"/>
    <mergeCell ref="C137:C142"/>
    <mergeCell ref="J137:J142"/>
    <mergeCell ref="K137:K142"/>
    <mergeCell ref="A119:A124"/>
    <mergeCell ref="B119:B124"/>
    <mergeCell ref="C119:C124"/>
    <mergeCell ref="J119:J124"/>
    <mergeCell ref="K119:K124"/>
    <mergeCell ref="A125:A130"/>
    <mergeCell ref="B125:B130"/>
    <mergeCell ref="C125:C130"/>
    <mergeCell ref="J125:J130"/>
    <mergeCell ref="K125:K130"/>
    <mergeCell ref="A107:A112"/>
    <mergeCell ref="B107:B112"/>
    <mergeCell ref="C107:C112"/>
    <mergeCell ref="J107:J112"/>
    <mergeCell ref="K107:K112"/>
    <mergeCell ref="A113:A118"/>
    <mergeCell ref="B113:B118"/>
    <mergeCell ref="C113:C118"/>
    <mergeCell ref="J113:J118"/>
    <mergeCell ref="K113:K118"/>
    <mergeCell ref="A95:A100"/>
    <mergeCell ref="B95:B100"/>
    <mergeCell ref="C95:C100"/>
    <mergeCell ref="J95:J100"/>
    <mergeCell ref="K95:K100"/>
    <mergeCell ref="A101:A106"/>
    <mergeCell ref="B101:B106"/>
    <mergeCell ref="C101:C106"/>
    <mergeCell ref="J101:J106"/>
    <mergeCell ref="K101:K106"/>
    <mergeCell ref="A83:A88"/>
    <mergeCell ref="B83:B88"/>
    <mergeCell ref="C83:C88"/>
    <mergeCell ref="J83:J88"/>
    <mergeCell ref="K83:K88"/>
    <mergeCell ref="A89:A94"/>
    <mergeCell ref="B89:B94"/>
    <mergeCell ref="C89:C94"/>
    <mergeCell ref="J89:J94"/>
    <mergeCell ref="K89:K94"/>
    <mergeCell ref="A71:A76"/>
    <mergeCell ref="B71:B76"/>
    <mergeCell ref="C71:C76"/>
    <mergeCell ref="J71:J76"/>
    <mergeCell ref="K71:K76"/>
    <mergeCell ref="A77:A82"/>
    <mergeCell ref="B77:B82"/>
    <mergeCell ref="C77:C82"/>
    <mergeCell ref="J77:J82"/>
    <mergeCell ref="K77:K82"/>
    <mergeCell ref="A59:A64"/>
    <mergeCell ref="B59:B64"/>
    <mergeCell ref="C59:C64"/>
    <mergeCell ref="J59:J64"/>
    <mergeCell ref="K59:K64"/>
    <mergeCell ref="A65:A70"/>
    <mergeCell ref="B65:B70"/>
    <mergeCell ref="C65:C70"/>
    <mergeCell ref="J65:J70"/>
    <mergeCell ref="K65:K70"/>
    <mergeCell ref="A47:A52"/>
    <mergeCell ref="B47:B52"/>
    <mergeCell ref="C47:C52"/>
    <mergeCell ref="J47:J52"/>
    <mergeCell ref="K47:K52"/>
    <mergeCell ref="A53:A58"/>
    <mergeCell ref="B53:B58"/>
    <mergeCell ref="C53:C58"/>
    <mergeCell ref="J53:J58"/>
    <mergeCell ref="K53:K58"/>
    <mergeCell ref="A35:A40"/>
    <mergeCell ref="B35:B40"/>
    <mergeCell ref="C35:C40"/>
    <mergeCell ref="J35:J40"/>
    <mergeCell ref="K35:K40"/>
    <mergeCell ref="A41:A46"/>
    <mergeCell ref="B41:B46"/>
    <mergeCell ref="C41:C46"/>
    <mergeCell ref="J41:J46"/>
    <mergeCell ref="K41:K46"/>
    <mergeCell ref="A23:A28"/>
    <mergeCell ref="B23:B28"/>
    <mergeCell ref="C23:C28"/>
    <mergeCell ref="J23:J28"/>
    <mergeCell ref="K23:K28"/>
    <mergeCell ref="A29:A34"/>
    <mergeCell ref="B29:B34"/>
    <mergeCell ref="C29:C34"/>
    <mergeCell ref="J29:J34"/>
    <mergeCell ref="K29:K34"/>
    <mergeCell ref="A11:A16"/>
    <mergeCell ref="B11:B16"/>
    <mergeCell ref="C11:C16"/>
    <mergeCell ref="J11:J16"/>
    <mergeCell ref="K11:K16"/>
    <mergeCell ref="A17:A22"/>
    <mergeCell ref="B17:B22"/>
    <mergeCell ref="C17:C22"/>
    <mergeCell ref="J17:J22"/>
    <mergeCell ref="K17:K22"/>
    <mergeCell ref="A1:K2"/>
    <mergeCell ref="A3:A4"/>
    <mergeCell ref="B3:B4"/>
    <mergeCell ref="C3:C4"/>
    <mergeCell ref="D3:I3"/>
    <mergeCell ref="J3:J4"/>
    <mergeCell ref="K3:K4"/>
    <mergeCell ref="A5:A10"/>
    <mergeCell ref="B5:B10"/>
    <mergeCell ref="C5:C10"/>
    <mergeCell ref="J5:J10"/>
    <mergeCell ref="K5:K10"/>
  </mergeCells>
  <printOptions horizontalCentered="1" verticalCentered="1"/>
  <pageMargins left="0.11811023622047245" right="0.11811023622047245" top="0.15748031496062992" bottom="0.15748031496062992" header="0.11811023622047245" footer="0.11811023622047245"/>
  <pageSetup paperSize="9" fitToHeight="14" orientation="landscape" r:id="rId1"/>
  <rowBreaks count="12" manualBreakCount="12">
    <brk id="34" max="10" man="1"/>
    <brk id="64" max="10" man="1"/>
    <brk id="94" max="10" man="1"/>
    <brk id="124" max="10" man="1"/>
    <brk id="154" max="10" man="1"/>
    <brk id="184" max="10" man="1"/>
    <brk id="220" max="10" man="1"/>
    <brk id="256" max="10" man="1"/>
    <brk id="292" max="10" man="1"/>
    <brk id="328" max="10" man="1"/>
    <brk id="364" max="10" man="1"/>
    <brk id="400"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85" zoomScaleNormal="85" zoomScaleSheetLayoutView="85" workbookViewId="0">
      <selection activeCell="F14" sqref="F14"/>
    </sheetView>
  </sheetViews>
  <sheetFormatPr defaultRowHeight="15"/>
  <cols>
    <col min="1" max="1" width="9.140625" style="704" customWidth="1"/>
    <col min="2" max="2" width="42.85546875" style="705" customWidth="1"/>
    <col min="3" max="6" width="40.5703125" style="704" customWidth="1"/>
    <col min="7" max="7" width="42.7109375" style="705" customWidth="1"/>
    <col min="8" max="16384" width="9.140625" style="704"/>
  </cols>
  <sheetData>
    <row r="1" spans="1:7" s="713" customFormat="1" ht="60.75" customHeight="1">
      <c r="B1" s="1099" t="s">
        <v>3085</v>
      </c>
      <c r="C1" s="1099"/>
      <c r="D1" s="1099"/>
      <c r="E1" s="1099"/>
      <c r="F1" s="1099"/>
      <c r="G1" s="1100"/>
    </row>
    <row r="2" spans="1:7" s="706" customFormat="1" ht="30">
      <c r="A2" s="712" t="s">
        <v>441</v>
      </c>
      <c r="B2" s="712" t="s">
        <v>3084</v>
      </c>
      <c r="C2" s="712" t="s">
        <v>3083</v>
      </c>
      <c r="D2" s="712" t="s">
        <v>3082</v>
      </c>
      <c r="E2" s="712" t="s">
        <v>3081</v>
      </c>
      <c r="F2" s="712" t="s">
        <v>3080</v>
      </c>
      <c r="G2" s="712" t="s">
        <v>3079</v>
      </c>
    </row>
    <row r="3" spans="1:7" s="706" customFormat="1" ht="18" customHeight="1">
      <c r="A3" s="711">
        <v>1</v>
      </c>
      <c r="B3" s="1101" t="s">
        <v>3078</v>
      </c>
      <c r="C3" s="1102"/>
      <c r="D3" s="1102"/>
      <c r="E3" s="1103"/>
      <c r="F3" s="708"/>
      <c r="G3" s="710"/>
    </row>
    <row r="4" spans="1:7" s="706" customFormat="1" ht="18" customHeight="1">
      <c r="A4" s="711"/>
      <c r="B4" s="717"/>
      <c r="C4" s="718"/>
      <c r="D4" s="718"/>
      <c r="E4" s="719"/>
      <c r="F4" s="708"/>
      <c r="G4" s="710"/>
    </row>
    <row r="5" spans="1:7" s="706" customFormat="1" ht="177.75" customHeight="1">
      <c r="A5" s="709" t="s">
        <v>173</v>
      </c>
      <c r="B5" s="708" t="s">
        <v>565</v>
      </c>
      <c r="C5" s="708"/>
      <c r="D5" s="708"/>
      <c r="E5" s="720" t="s">
        <v>3097</v>
      </c>
      <c r="F5" s="708"/>
      <c r="G5" s="707" t="s">
        <v>3077</v>
      </c>
    </row>
    <row r="6" spans="1:7" s="706" customFormat="1"/>
    <row r="7" spans="1:7" ht="18.75" customHeight="1">
      <c r="A7" s="706"/>
      <c r="B7" s="942" t="s">
        <v>3076</v>
      </c>
      <c r="C7" s="943"/>
      <c r="D7" s="943"/>
      <c r="E7" s="943"/>
      <c r="F7" s="943"/>
      <c r="G7" s="706"/>
    </row>
    <row r="8" spans="1:7" ht="36" customHeight="1">
      <c r="A8" s="706"/>
      <c r="B8" s="942" t="s">
        <v>3075</v>
      </c>
      <c r="C8" s="943"/>
      <c r="D8" s="943"/>
      <c r="E8" s="943"/>
      <c r="F8" s="943"/>
      <c r="G8" s="706"/>
    </row>
    <row r="9" spans="1:7">
      <c r="A9" s="706"/>
      <c r="B9" s="693"/>
      <c r="C9" s="706"/>
      <c r="D9" s="706"/>
      <c r="E9" s="706"/>
      <c r="F9" s="706"/>
      <c r="G9" s="706"/>
    </row>
    <row r="10" spans="1:7">
      <c r="A10" s="706"/>
      <c r="B10" s="706"/>
      <c r="C10" s="706"/>
      <c r="D10" s="706"/>
      <c r="E10" s="706"/>
      <c r="F10" s="706"/>
      <c r="G10" s="706"/>
    </row>
    <row r="11" spans="1:7">
      <c r="A11" s="706"/>
      <c r="B11" s="706"/>
      <c r="C11" s="706"/>
      <c r="D11" s="706"/>
      <c r="E11" s="706"/>
      <c r="F11" s="706"/>
      <c r="G11" s="706"/>
    </row>
    <row r="12" spans="1:7">
      <c r="A12" s="706"/>
      <c r="B12" s="706"/>
      <c r="C12" s="706"/>
      <c r="D12" s="706"/>
      <c r="E12" s="706"/>
      <c r="F12" s="706"/>
      <c r="G12" s="706"/>
    </row>
    <row r="13" spans="1:7">
      <c r="A13" s="706"/>
      <c r="B13" s="706"/>
      <c r="C13" s="706"/>
      <c r="D13" s="706"/>
      <c r="E13" s="706"/>
      <c r="F13" s="706"/>
      <c r="G13" s="706"/>
    </row>
    <row r="14" spans="1:7">
      <c r="A14" s="706"/>
      <c r="B14" s="706"/>
      <c r="C14" s="706"/>
      <c r="D14" s="706"/>
      <c r="E14" s="706"/>
      <c r="F14" s="706"/>
      <c r="G14" s="706"/>
    </row>
    <row r="15" spans="1:7">
      <c r="A15" s="706"/>
      <c r="B15" s="706"/>
      <c r="C15" s="706"/>
      <c r="D15" s="706"/>
      <c r="E15" s="706"/>
      <c r="F15" s="706"/>
      <c r="G15" s="706"/>
    </row>
    <row r="16" spans="1:7">
      <c r="A16" s="706"/>
      <c r="B16" s="706"/>
      <c r="C16" s="706"/>
      <c r="D16" s="706"/>
      <c r="E16" s="706"/>
      <c r="F16" s="706"/>
      <c r="G16" s="706"/>
    </row>
    <row r="17" spans="1:7">
      <c r="A17" s="706"/>
      <c r="B17" s="706"/>
      <c r="C17" s="706"/>
      <c r="D17" s="706"/>
      <c r="E17" s="706"/>
      <c r="F17" s="706"/>
      <c r="G17" s="706"/>
    </row>
    <row r="18" spans="1:7">
      <c r="A18" s="706"/>
      <c r="B18" s="706"/>
      <c r="C18" s="706"/>
      <c r="D18" s="706"/>
      <c r="E18" s="706"/>
      <c r="F18" s="706"/>
      <c r="G18" s="706"/>
    </row>
    <row r="19" spans="1:7">
      <c r="A19" s="706"/>
      <c r="B19" s="706"/>
      <c r="C19" s="706"/>
      <c r="D19" s="706"/>
      <c r="E19" s="706"/>
      <c r="F19" s="706"/>
      <c r="G19" s="706"/>
    </row>
    <row r="20" spans="1:7">
      <c r="A20" s="706"/>
      <c r="B20" s="706"/>
      <c r="C20" s="706"/>
      <c r="D20" s="706"/>
      <c r="E20" s="706"/>
      <c r="F20" s="706"/>
      <c r="G20" s="706"/>
    </row>
    <row r="21" spans="1:7">
      <c r="A21" s="706"/>
      <c r="B21" s="706"/>
      <c r="C21" s="706"/>
      <c r="D21" s="706"/>
      <c r="E21" s="706"/>
      <c r="F21" s="706"/>
      <c r="G21" s="706"/>
    </row>
    <row r="22" spans="1:7">
      <c r="A22" s="706"/>
      <c r="B22" s="706"/>
      <c r="C22" s="706"/>
      <c r="D22" s="706"/>
      <c r="E22" s="706"/>
      <c r="F22" s="706"/>
      <c r="G22" s="706"/>
    </row>
    <row r="23" spans="1:7">
      <c r="A23" s="706"/>
      <c r="B23" s="706"/>
      <c r="C23" s="706"/>
      <c r="D23" s="706"/>
      <c r="E23" s="706"/>
      <c r="F23" s="706"/>
      <c r="G23" s="706"/>
    </row>
    <row r="24" spans="1:7">
      <c r="A24" s="706"/>
      <c r="B24" s="706"/>
      <c r="C24" s="706"/>
      <c r="D24" s="706"/>
      <c r="E24" s="706"/>
      <c r="F24" s="706"/>
      <c r="G24" s="706"/>
    </row>
    <row r="25" spans="1:7">
      <c r="A25" s="706"/>
      <c r="B25" s="706"/>
      <c r="C25" s="706"/>
      <c r="D25" s="706"/>
      <c r="E25" s="706"/>
      <c r="F25" s="706"/>
      <c r="G25" s="706"/>
    </row>
    <row r="26" spans="1:7">
      <c r="A26" s="706"/>
      <c r="B26" s="706"/>
      <c r="C26" s="706"/>
      <c r="D26" s="706"/>
      <c r="E26" s="706"/>
      <c r="F26" s="706"/>
      <c r="G26" s="706"/>
    </row>
    <row r="27" spans="1:7">
      <c r="A27" s="706"/>
      <c r="B27" s="706"/>
      <c r="C27" s="706"/>
      <c r="D27" s="706"/>
      <c r="E27" s="706"/>
      <c r="F27" s="706"/>
      <c r="G27" s="706"/>
    </row>
    <row r="28" spans="1:7">
      <c r="A28" s="706"/>
      <c r="B28" s="706"/>
      <c r="C28" s="706"/>
      <c r="D28" s="706"/>
      <c r="E28" s="706"/>
      <c r="F28" s="706"/>
      <c r="G28" s="706"/>
    </row>
    <row r="29" spans="1:7">
      <c r="A29" s="706"/>
      <c r="B29" s="706"/>
      <c r="C29" s="706"/>
      <c r="D29" s="706"/>
      <c r="E29" s="706"/>
      <c r="F29" s="706"/>
      <c r="G29" s="706"/>
    </row>
    <row r="30" spans="1:7">
      <c r="A30" s="706"/>
      <c r="B30" s="706"/>
      <c r="C30" s="706"/>
      <c r="D30" s="706"/>
      <c r="E30" s="706"/>
      <c r="F30" s="706"/>
      <c r="G30" s="706"/>
    </row>
    <row r="31" spans="1:7">
      <c r="A31" s="706"/>
      <c r="B31" s="706"/>
      <c r="C31" s="706"/>
      <c r="D31" s="706"/>
      <c r="E31" s="706"/>
      <c r="F31" s="706"/>
      <c r="G31" s="706"/>
    </row>
    <row r="32" spans="1:7">
      <c r="A32" s="706"/>
      <c r="B32" s="706"/>
      <c r="C32" s="706"/>
      <c r="D32" s="706"/>
      <c r="E32" s="706"/>
      <c r="F32" s="706"/>
      <c r="G32" s="706"/>
    </row>
    <row r="33" spans="1:7">
      <c r="A33" s="706"/>
      <c r="B33" s="706"/>
      <c r="C33" s="706"/>
      <c r="D33" s="706"/>
      <c r="E33" s="706"/>
      <c r="F33" s="706"/>
      <c r="G33" s="706"/>
    </row>
    <row r="34" spans="1:7">
      <c r="A34" s="706"/>
      <c r="B34" s="706"/>
      <c r="C34" s="706"/>
      <c r="D34" s="706"/>
      <c r="E34" s="706"/>
      <c r="F34" s="706"/>
      <c r="G34" s="706"/>
    </row>
    <row r="35" spans="1:7">
      <c r="A35" s="706"/>
      <c r="B35" s="706"/>
      <c r="C35" s="706"/>
      <c r="D35" s="706"/>
      <c r="E35" s="706"/>
      <c r="F35" s="706"/>
      <c r="G35" s="706"/>
    </row>
    <row r="36" spans="1:7">
      <c r="A36" s="706"/>
      <c r="B36" s="706"/>
      <c r="C36" s="706"/>
      <c r="D36" s="706"/>
      <c r="E36" s="706"/>
      <c r="F36" s="706"/>
      <c r="G36" s="706"/>
    </row>
    <row r="37" spans="1:7">
      <c r="A37" s="706"/>
      <c r="B37" s="706"/>
      <c r="C37" s="706"/>
      <c r="D37" s="706"/>
      <c r="E37" s="706"/>
      <c r="F37" s="706"/>
      <c r="G37" s="706"/>
    </row>
    <row r="38" spans="1:7">
      <c r="A38" s="706"/>
      <c r="B38" s="706"/>
      <c r="C38" s="706"/>
      <c r="D38" s="706"/>
      <c r="E38" s="706"/>
      <c r="F38" s="706"/>
      <c r="G38" s="706"/>
    </row>
    <row r="39" spans="1:7">
      <c r="A39" s="706"/>
      <c r="B39" s="706"/>
      <c r="C39" s="706"/>
      <c r="D39" s="706"/>
      <c r="E39" s="706"/>
      <c r="F39" s="706"/>
      <c r="G39" s="706"/>
    </row>
    <row r="40" spans="1:7">
      <c r="A40" s="706"/>
      <c r="B40" s="706"/>
      <c r="C40" s="706"/>
      <c r="D40" s="706"/>
      <c r="E40" s="706"/>
      <c r="F40" s="706"/>
      <c r="G40" s="706"/>
    </row>
    <row r="41" spans="1:7">
      <c r="A41" s="706"/>
      <c r="B41" s="706"/>
      <c r="C41" s="706"/>
      <c r="D41" s="706"/>
      <c r="E41" s="706"/>
      <c r="F41" s="706"/>
      <c r="G41" s="706"/>
    </row>
    <row r="42" spans="1:7">
      <c r="A42" s="706"/>
      <c r="B42" s="706"/>
      <c r="C42" s="706"/>
      <c r="D42" s="706"/>
      <c r="E42" s="706"/>
      <c r="F42" s="706"/>
      <c r="G42" s="706"/>
    </row>
    <row r="43" spans="1:7">
      <c r="A43" s="706"/>
      <c r="B43" s="706"/>
      <c r="C43" s="706"/>
      <c r="D43" s="706"/>
      <c r="E43" s="706"/>
      <c r="F43" s="706"/>
      <c r="G43" s="706"/>
    </row>
    <row r="44" spans="1:7">
      <c r="A44" s="706"/>
      <c r="B44" s="706"/>
      <c r="C44" s="706"/>
      <c r="D44" s="706"/>
      <c r="E44" s="706"/>
      <c r="F44" s="706"/>
      <c r="G44" s="706"/>
    </row>
  </sheetData>
  <mergeCells count="4">
    <mergeCell ref="B1:G1"/>
    <mergeCell ref="B3:E3"/>
    <mergeCell ref="B7:F7"/>
    <mergeCell ref="B8:F8"/>
  </mergeCells>
  <pageMargins left="0.70866141732283472" right="0.70866141732283472" top="0.74803149606299213" bottom="0.74803149606299213" header="0.31496062992125984" footer="0.31496062992125984"/>
  <pageSetup paperSize="9" scale="50"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12"/>
  <sheetViews>
    <sheetView workbookViewId="0">
      <selection activeCell="B6" sqref="B6"/>
    </sheetView>
  </sheetViews>
  <sheetFormatPr defaultColWidth="8.85546875" defaultRowHeight="15"/>
  <cols>
    <col min="1" max="1" width="5.140625" customWidth="1"/>
    <col min="2" max="2" width="33.85546875" customWidth="1"/>
    <col min="3" max="3" width="20.42578125" customWidth="1"/>
    <col min="4" max="4" width="15" customWidth="1"/>
    <col min="5" max="5" width="23.42578125" customWidth="1"/>
    <col min="6" max="6" width="16.140625" customWidth="1"/>
    <col min="7" max="7" width="17.42578125" customWidth="1"/>
    <col min="8" max="8" width="13.28515625" customWidth="1"/>
    <col min="257" max="257" width="5.140625" customWidth="1"/>
    <col min="258" max="258" width="26.42578125" customWidth="1"/>
    <col min="259" max="259" width="20.42578125" customWidth="1"/>
    <col min="260" max="260" width="15" customWidth="1"/>
    <col min="261" max="261" width="23.42578125" customWidth="1"/>
    <col min="262" max="262" width="16.140625" customWidth="1"/>
    <col min="263" max="263" width="17.42578125" customWidth="1"/>
    <col min="264" max="264" width="13.28515625" customWidth="1"/>
    <col min="513" max="513" width="5.140625" customWidth="1"/>
    <col min="514" max="514" width="26.42578125" customWidth="1"/>
    <col min="515" max="515" width="20.42578125" customWidth="1"/>
    <col min="516" max="516" width="15" customWidth="1"/>
    <col min="517" max="517" width="23.42578125" customWidth="1"/>
    <col min="518" max="518" width="16.140625" customWidth="1"/>
    <col min="519" max="519" width="17.42578125" customWidth="1"/>
    <col min="520" max="520" width="13.28515625" customWidth="1"/>
    <col min="769" max="769" width="5.140625" customWidth="1"/>
    <col min="770" max="770" width="26.42578125" customWidth="1"/>
    <col min="771" max="771" width="20.42578125" customWidth="1"/>
    <col min="772" max="772" width="15" customWidth="1"/>
    <col min="773" max="773" width="23.42578125" customWidth="1"/>
    <col min="774" max="774" width="16.140625" customWidth="1"/>
    <col min="775" max="775" width="17.42578125" customWidth="1"/>
    <col min="776" max="776" width="13.28515625" customWidth="1"/>
    <col min="1025" max="1025" width="5.140625" customWidth="1"/>
    <col min="1026" max="1026" width="26.42578125" customWidth="1"/>
    <col min="1027" max="1027" width="20.42578125" customWidth="1"/>
    <col min="1028" max="1028" width="15" customWidth="1"/>
    <col min="1029" max="1029" width="23.42578125" customWidth="1"/>
    <col min="1030" max="1030" width="16.140625" customWidth="1"/>
    <col min="1031" max="1031" width="17.42578125" customWidth="1"/>
    <col min="1032" max="1032" width="13.28515625" customWidth="1"/>
    <col min="1281" max="1281" width="5.140625" customWidth="1"/>
    <col min="1282" max="1282" width="26.42578125" customWidth="1"/>
    <col min="1283" max="1283" width="20.42578125" customWidth="1"/>
    <col min="1284" max="1284" width="15" customWidth="1"/>
    <col min="1285" max="1285" width="23.42578125" customWidth="1"/>
    <col min="1286" max="1286" width="16.140625" customWidth="1"/>
    <col min="1287" max="1287" width="17.42578125" customWidth="1"/>
    <col min="1288" max="1288" width="13.28515625" customWidth="1"/>
    <col min="1537" max="1537" width="5.140625" customWidth="1"/>
    <col min="1538" max="1538" width="26.42578125" customWidth="1"/>
    <col min="1539" max="1539" width="20.42578125" customWidth="1"/>
    <col min="1540" max="1540" width="15" customWidth="1"/>
    <col min="1541" max="1541" width="23.42578125" customWidth="1"/>
    <col min="1542" max="1542" width="16.140625" customWidth="1"/>
    <col min="1543" max="1543" width="17.42578125" customWidth="1"/>
    <col min="1544" max="1544" width="13.28515625" customWidth="1"/>
    <col min="1793" max="1793" width="5.140625" customWidth="1"/>
    <col min="1794" max="1794" width="26.42578125" customWidth="1"/>
    <col min="1795" max="1795" width="20.42578125" customWidth="1"/>
    <col min="1796" max="1796" width="15" customWidth="1"/>
    <col min="1797" max="1797" width="23.42578125" customWidth="1"/>
    <col min="1798" max="1798" width="16.140625" customWidth="1"/>
    <col min="1799" max="1799" width="17.42578125" customWidth="1"/>
    <col min="1800" max="1800" width="13.28515625" customWidth="1"/>
    <col min="2049" max="2049" width="5.140625" customWidth="1"/>
    <col min="2050" max="2050" width="26.42578125" customWidth="1"/>
    <col min="2051" max="2051" width="20.42578125" customWidth="1"/>
    <col min="2052" max="2052" width="15" customWidth="1"/>
    <col min="2053" max="2053" width="23.42578125" customWidth="1"/>
    <col min="2054" max="2054" width="16.140625" customWidth="1"/>
    <col min="2055" max="2055" width="17.42578125" customWidth="1"/>
    <col min="2056" max="2056" width="13.28515625" customWidth="1"/>
    <col min="2305" max="2305" width="5.140625" customWidth="1"/>
    <col min="2306" max="2306" width="26.42578125" customWidth="1"/>
    <col min="2307" max="2307" width="20.42578125" customWidth="1"/>
    <col min="2308" max="2308" width="15" customWidth="1"/>
    <col min="2309" max="2309" width="23.42578125" customWidth="1"/>
    <col min="2310" max="2310" width="16.140625" customWidth="1"/>
    <col min="2311" max="2311" width="17.42578125" customWidth="1"/>
    <col min="2312" max="2312" width="13.28515625" customWidth="1"/>
    <col min="2561" max="2561" width="5.140625" customWidth="1"/>
    <col min="2562" max="2562" width="26.42578125" customWidth="1"/>
    <col min="2563" max="2563" width="20.42578125" customWidth="1"/>
    <col min="2564" max="2564" width="15" customWidth="1"/>
    <col min="2565" max="2565" width="23.42578125" customWidth="1"/>
    <col min="2566" max="2566" width="16.140625" customWidth="1"/>
    <col min="2567" max="2567" width="17.42578125" customWidth="1"/>
    <col min="2568" max="2568" width="13.28515625" customWidth="1"/>
    <col min="2817" max="2817" width="5.140625" customWidth="1"/>
    <col min="2818" max="2818" width="26.42578125" customWidth="1"/>
    <col min="2819" max="2819" width="20.42578125" customWidth="1"/>
    <col min="2820" max="2820" width="15" customWidth="1"/>
    <col min="2821" max="2821" width="23.42578125" customWidth="1"/>
    <col min="2822" max="2822" width="16.140625" customWidth="1"/>
    <col min="2823" max="2823" width="17.42578125" customWidth="1"/>
    <col min="2824" max="2824" width="13.28515625" customWidth="1"/>
    <col min="3073" max="3073" width="5.140625" customWidth="1"/>
    <col min="3074" max="3074" width="26.42578125" customWidth="1"/>
    <col min="3075" max="3075" width="20.42578125" customWidth="1"/>
    <col min="3076" max="3076" width="15" customWidth="1"/>
    <col min="3077" max="3077" width="23.42578125" customWidth="1"/>
    <col min="3078" max="3078" width="16.140625" customWidth="1"/>
    <col min="3079" max="3079" width="17.42578125" customWidth="1"/>
    <col min="3080" max="3080" width="13.28515625" customWidth="1"/>
    <col min="3329" max="3329" width="5.140625" customWidth="1"/>
    <col min="3330" max="3330" width="26.42578125" customWidth="1"/>
    <col min="3331" max="3331" width="20.42578125" customWidth="1"/>
    <col min="3332" max="3332" width="15" customWidth="1"/>
    <col min="3333" max="3333" width="23.42578125" customWidth="1"/>
    <col min="3334" max="3334" width="16.140625" customWidth="1"/>
    <col min="3335" max="3335" width="17.42578125" customWidth="1"/>
    <col min="3336" max="3336" width="13.28515625" customWidth="1"/>
    <col min="3585" max="3585" width="5.140625" customWidth="1"/>
    <col min="3586" max="3586" width="26.42578125" customWidth="1"/>
    <col min="3587" max="3587" width="20.42578125" customWidth="1"/>
    <col min="3588" max="3588" width="15" customWidth="1"/>
    <col min="3589" max="3589" width="23.42578125" customWidth="1"/>
    <col min="3590" max="3590" width="16.140625" customWidth="1"/>
    <col min="3591" max="3591" width="17.42578125" customWidth="1"/>
    <col min="3592" max="3592" width="13.28515625" customWidth="1"/>
    <col min="3841" max="3841" width="5.140625" customWidth="1"/>
    <col min="3842" max="3842" width="26.42578125" customWidth="1"/>
    <col min="3843" max="3843" width="20.42578125" customWidth="1"/>
    <col min="3844" max="3844" width="15" customWidth="1"/>
    <col min="3845" max="3845" width="23.42578125" customWidth="1"/>
    <col min="3846" max="3846" width="16.140625" customWidth="1"/>
    <col min="3847" max="3847" width="17.42578125" customWidth="1"/>
    <col min="3848" max="3848" width="13.28515625" customWidth="1"/>
    <col min="4097" max="4097" width="5.140625" customWidth="1"/>
    <col min="4098" max="4098" width="26.42578125" customWidth="1"/>
    <col min="4099" max="4099" width="20.42578125" customWidth="1"/>
    <col min="4100" max="4100" width="15" customWidth="1"/>
    <col min="4101" max="4101" width="23.42578125" customWidth="1"/>
    <col min="4102" max="4102" width="16.140625" customWidth="1"/>
    <col min="4103" max="4103" width="17.42578125" customWidth="1"/>
    <col min="4104" max="4104" width="13.28515625" customWidth="1"/>
    <col min="4353" max="4353" width="5.140625" customWidth="1"/>
    <col min="4354" max="4354" width="26.42578125" customWidth="1"/>
    <col min="4355" max="4355" width="20.42578125" customWidth="1"/>
    <col min="4356" max="4356" width="15" customWidth="1"/>
    <col min="4357" max="4357" width="23.42578125" customWidth="1"/>
    <col min="4358" max="4358" width="16.140625" customWidth="1"/>
    <col min="4359" max="4359" width="17.42578125" customWidth="1"/>
    <col min="4360" max="4360" width="13.28515625" customWidth="1"/>
    <col min="4609" max="4609" width="5.140625" customWidth="1"/>
    <col min="4610" max="4610" width="26.42578125" customWidth="1"/>
    <col min="4611" max="4611" width="20.42578125" customWidth="1"/>
    <col min="4612" max="4612" width="15" customWidth="1"/>
    <col min="4613" max="4613" width="23.42578125" customWidth="1"/>
    <col min="4614" max="4614" width="16.140625" customWidth="1"/>
    <col min="4615" max="4615" width="17.42578125" customWidth="1"/>
    <col min="4616" max="4616" width="13.28515625" customWidth="1"/>
    <col min="4865" max="4865" width="5.140625" customWidth="1"/>
    <col min="4866" max="4866" width="26.42578125" customWidth="1"/>
    <col min="4867" max="4867" width="20.42578125" customWidth="1"/>
    <col min="4868" max="4868" width="15" customWidth="1"/>
    <col min="4869" max="4869" width="23.42578125" customWidth="1"/>
    <col min="4870" max="4870" width="16.140625" customWidth="1"/>
    <col min="4871" max="4871" width="17.42578125" customWidth="1"/>
    <col min="4872" max="4872" width="13.28515625" customWidth="1"/>
    <col min="5121" max="5121" width="5.140625" customWidth="1"/>
    <col min="5122" max="5122" width="26.42578125" customWidth="1"/>
    <col min="5123" max="5123" width="20.42578125" customWidth="1"/>
    <col min="5124" max="5124" width="15" customWidth="1"/>
    <col min="5125" max="5125" width="23.42578125" customWidth="1"/>
    <col min="5126" max="5126" width="16.140625" customWidth="1"/>
    <col min="5127" max="5127" width="17.42578125" customWidth="1"/>
    <col min="5128" max="5128" width="13.28515625" customWidth="1"/>
    <col min="5377" max="5377" width="5.140625" customWidth="1"/>
    <col min="5378" max="5378" width="26.42578125" customWidth="1"/>
    <col min="5379" max="5379" width="20.42578125" customWidth="1"/>
    <col min="5380" max="5380" width="15" customWidth="1"/>
    <col min="5381" max="5381" width="23.42578125" customWidth="1"/>
    <col min="5382" max="5382" width="16.140625" customWidth="1"/>
    <col min="5383" max="5383" width="17.42578125" customWidth="1"/>
    <col min="5384" max="5384" width="13.28515625" customWidth="1"/>
    <col min="5633" max="5633" width="5.140625" customWidth="1"/>
    <col min="5634" max="5634" width="26.42578125" customWidth="1"/>
    <col min="5635" max="5635" width="20.42578125" customWidth="1"/>
    <col min="5636" max="5636" width="15" customWidth="1"/>
    <col min="5637" max="5637" width="23.42578125" customWidth="1"/>
    <col min="5638" max="5638" width="16.140625" customWidth="1"/>
    <col min="5639" max="5639" width="17.42578125" customWidth="1"/>
    <col min="5640" max="5640" width="13.28515625" customWidth="1"/>
    <col min="5889" max="5889" width="5.140625" customWidth="1"/>
    <col min="5890" max="5890" width="26.42578125" customWidth="1"/>
    <col min="5891" max="5891" width="20.42578125" customWidth="1"/>
    <col min="5892" max="5892" width="15" customWidth="1"/>
    <col min="5893" max="5893" width="23.42578125" customWidth="1"/>
    <col min="5894" max="5894" width="16.140625" customWidth="1"/>
    <col min="5895" max="5895" width="17.42578125" customWidth="1"/>
    <col min="5896" max="5896" width="13.28515625" customWidth="1"/>
    <col min="6145" max="6145" width="5.140625" customWidth="1"/>
    <col min="6146" max="6146" width="26.42578125" customWidth="1"/>
    <col min="6147" max="6147" width="20.42578125" customWidth="1"/>
    <col min="6148" max="6148" width="15" customWidth="1"/>
    <col min="6149" max="6149" width="23.42578125" customWidth="1"/>
    <col min="6150" max="6150" width="16.140625" customWidth="1"/>
    <col min="6151" max="6151" width="17.42578125" customWidth="1"/>
    <col min="6152" max="6152" width="13.28515625" customWidth="1"/>
    <col min="6401" max="6401" width="5.140625" customWidth="1"/>
    <col min="6402" max="6402" width="26.42578125" customWidth="1"/>
    <col min="6403" max="6403" width="20.42578125" customWidth="1"/>
    <col min="6404" max="6404" width="15" customWidth="1"/>
    <col min="6405" max="6405" width="23.42578125" customWidth="1"/>
    <col min="6406" max="6406" width="16.140625" customWidth="1"/>
    <col min="6407" max="6407" width="17.42578125" customWidth="1"/>
    <col min="6408" max="6408" width="13.28515625" customWidth="1"/>
    <col min="6657" max="6657" width="5.140625" customWidth="1"/>
    <col min="6658" max="6658" width="26.42578125" customWidth="1"/>
    <col min="6659" max="6659" width="20.42578125" customWidth="1"/>
    <col min="6660" max="6660" width="15" customWidth="1"/>
    <col min="6661" max="6661" width="23.42578125" customWidth="1"/>
    <col min="6662" max="6662" width="16.140625" customWidth="1"/>
    <col min="6663" max="6663" width="17.42578125" customWidth="1"/>
    <col min="6664" max="6664" width="13.28515625" customWidth="1"/>
    <col min="6913" max="6913" width="5.140625" customWidth="1"/>
    <col min="6914" max="6914" width="26.42578125" customWidth="1"/>
    <col min="6915" max="6915" width="20.42578125" customWidth="1"/>
    <col min="6916" max="6916" width="15" customWidth="1"/>
    <col min="6917" max="6917" width="23.42578125" customWidth="1"/>
    <col min="6918" max="6918" width="16.140625" customWidth="1"/>
    <col min="6919" max="6919" width="17.42578125" customWidth="1"/>
    <col min="6920" max="6920" width="13.28515625" customWidth="1"/>
    <col min="7169" max="7169" width="5.140625" customWidth="1"/>
    <col min="7170" max="7170" width="26.42578125" customWidth="1"/>
    <col min="7171" max="7171" width="20.42578125" customWidth="1"/>
    <col min="7172" max="7172" width="15" customWidth="1"/>
    <col min="7173" max="7173" width="23.42578125" customWidth="1"/>
    <col min="7174" max="7174" width="16.140625" customWidth="1"/>
    <col min="7175" max="7175" width="17.42578125" customWidth="1"/>
    <col min="7176" max="7176" width="13.28515625" customWidth="1"/>
    <col min="7425" max="7425" width="5.140625" customWidth="1"/>
    <col min="7426" max="7426" width="26.42578125" customWidth="1"/>
    <col min="7427" max="7427" width="20.42578125" customWidth="1"/>
    <col min="7428" max="7428" width="15" customWidth="1"/>
    <col min="7429" max="7429" width="23.42578125" customWidth="1"/>
    <col min="7430" max="7430" width="16.140625" customWidth="1"/>
    <col min="7431" max="7431" width="17.42578125" customWidth="1"/>
    <col min="7432" max="7432" width="13.28515625" customWidth="1"/>
    <col min="7681" max="7681" width="5.140625" customWidth="1"/>
    <col min="7682" max="7682" width="26.42578125" customWidth="1"/>
    <col min="7683" max="7683" width="20.42578125" customWidth="1"/>
    <col min="7684" max="7684" width="15" customWidth="1"/>
    <col min="7685" max="7685" width="23.42578125" customWidth="1"/>
    <col min="7686" max="7686" width="16.140625" customWidth="1"/>
    <col min="7687" max="7687" width="17.42578125" customWidth="1"/>
    <col min="7688" max="7688" width="13.28515625" customWidth="1"/>
    <col min="7937" max="7937" width="5.140625" customWidth="1"/>
    <col min="7938" max="7938" width="26.42578125" customWidth="1"/>
    <col min="7939" max="7939" width="20.42578125" customWidth="1"/>
    <col min="7940" max="7940" width="15" customWidth="1"/>
    <col min="7941" max="7941" width="23.42578125" customWidth="1"/>
    <col min="7942" max="7942" width="16.140625" customWidth="1"/>
    <col min="7943" max="7943" width="17.42578125" customWidth="1"/>
    <col min="7944" max="7944" width="13.28515625" customWidth="1"/>
    <col min="8193" max="8193" width="5.140625" customWidth="1"/>
    <col min="8194" max="8194" width="26.42578125" customWidth="1"/>
    <col min="8195" max="8195" width="20.42578125" customWidth="1"/>
    <col min="8196" max="8196" width="15" customWidth="1"/>
    <col min="8197" max="8197" width="23.42578125" customWidth="1"/>
    <col min="8198" max="8198" width="16.140625" customWidth="1"/>
    <col min="8199" max="8199" width="17.42578125" customWidth="1"/>
    <col min="8200" max="8200" width="13.28515625" customWidth="1"/>
    <col min="8449" max="8449" width="5.140625" customWidth="1"/>
    <col min="8450" max="8450" width="26.42578125" customWidth="1"/>
    <col min="8451" max="8451" width="20.42578125" customWidth="1"/>
    <col min="8452" max="8452" width="15" customWidth="1"/>
    <col min="8453" max="8453" width="23.42578125" customWidth="1"/>
    <col min="8454" max="8454" width="16.140625" customWidth="1"/>
    <col min="8455" max="8455" width="17.42578125" customWidth="1"/>
    <col min="8456" max="8456" width="13.28515625" customWidth="1"/>
    <col min="8705" max="8705" width="5.140625" customWidth="1"/>
    <col min="8706" max="8706" width="26.42578125" customWidth="1"/>
    <col min="8707" max="8707" width="20.42578125" customWidth="1"/>
    <col min="8708" max="8708" width="15" customWidth="1"/>
    <col min="8709" max="8709" width="23.42578125" customWidth="1"/>
    <col min="8710" max="8710" width="16.140625" customWidth="1"/>
    <col min="8711" max="8711" width="17.42578125" customWidth="1"/>
    <col min="8712" max="8712" width="13.28515625" customWidth="1"/>
    <col min="8961" max="8961" width="5.140625" customWidth="1"/>
    <col min="8962" max="8962" width="26.42578125" customWidth="1"/>
    <col min="8963" max="8963" width="20.42578125" customWidth="1"/>
    <col min="8964" max="8964" width="15" customWidth="1"/>
    <col min="8965" max="8965" width="23.42578125" customWidth="1"/>
    <col min="8966" max="8966" width="16.140625" customWidth="1"/>
    <col min="8967" max="8967" width="17.42578125" customWidth="1"/>
    <col min="8968" max="8968" width="13.28515625" customWidth="1"/>
    <col min="9217" max="9217" width="5.140625" customWidth="1"/>
    <col min="9218" max="9218" width="26.42578125" customWidth="1"/>
    <col min="9219" max="9219" width="20.42578125" customWidth="1"/>
    <col min="9220" max="9220" width="15" customWidth="1"/>
    <col min="9221" max="9221" width="23.42578125" customWidth="1"/>
    <col min="9222" max="9222" width="16.140625" customWidth="1"/>
    <col min="9223" max="9223" width="17.42578125" customWidth="1"/>
    <col min="9224" max="9224" width="13.28515625" customWidth="1"/>
    <col min="9473" max="9473" width="5.140625" customWidth="1"/>
    <col min="9474" max="9474" width="26.42578125" customWidth="1"/>
    <col min="9475" max="9475" width="20.42578125" customWidth="1"/>
    <col min="9476" max="9476" width="15" customWidth="1"/>
    <col min="9477" max="9477" width="23.42578125" customWidth="1"/>
    <col min="9478" max="9478" width="16.140625" customWidth="1"/>
    <col min="9479" max="9479" width="17.42578125" customWidth="1"/>
    <col min="9480" max="9480" width="13.28515625" customWidth="1"/>
    <col min="9729" max="9729" width="5.140625" customWidth="1"/>
    <col min="9730" max="9730" width="26.42578125" customWidth="1"/>
    <col min="9731" max="9731" width="20.42578125" customWidth="1"/>
    <col min="9732" max="9732" width="15" customWidth="1"/>
    <col min="9733" max="9733" width="23.42578125" customWidth="1"/>
    <col min="9734" max="9734" width="16.140625" customWidth="1"/>
    <col min="9735" max="9735" width="17.42578125" customWidth="1"/>
    <col min="9736" max="9736" width="13.28515625" customWidth="1"/>
    <col min="9985" max="9985" width="5.140625" customWidth="1"/>
    <col min="9986" max="9986" width="26.42578125" customWidth="1"/>
    <col min="9987" max="9987" width="20.42578125" customWidth="1"/>
    <col min="9988" max="9988" width="15" customWidth="1"/>
    <col min="9989" max="9989" width="23.42578125" customWidth="1"/>
    <col min="9990" max="9990" width="16.140625" customWidth="1"/>
    <col min="9991" max="9991" width="17.42578125" customWidth="1"/>
    <col min="9992" max="9992" width="13.28515625" customWidth="1"/>
    <col min="10241" max="10241" width="5.140625" customWidth="1"/>
    <col min="10242" max="10242" width="26.42578125" customWidth="1"/>
    <col min="10243" max="10243" width="20.42578125" customWidth="1"/>
    <col min="10244" max="10244" width="15" customWidth="1"/>
    <col min="10245" max="10245" width="23.42578125" customWidth="1"/>
    <col min="10246" max="10246" width="16.140625" customWidth="1"/>
    <col min="10247" max="10247" width="17.42578125" customWidth="1"/>
    <col min="10248" max="10248" width="13.28515625" customWidth="1"/>
    <col min="10497" max="10497" width="5.140625" customWidth="1"/>
    <col min="10498" max="10498" width="26.42578125" customWidth="1"/>
    <col min="10499" max="10499" width="20.42578125" customWidth="1"/>
    <col min="10500" max="10500" width="15" customWidth="1"/>
    <col min="10501" max="10501" width="23.42578125" customWidth="1"/>
    <col min="10502" max="10502" width="16.140625" customWidth="1"/>
    <col min="10503" max="10503" width="17.42578125" customWidth="1"/>
    <col min="10504" max="10504" width="13.28515625" customWidth="1"/>
    <col min="10753" max="10753" width="5.140625" customWidth="1"/>
    <col min="10754" max="10754" width="26.42578125" customWidth="1"/>
    <col min="10755" max="10755" width="20.42578125" customWidth="1"/>
    <col min="10756" max="10756" width="15" customWidth="1"/>
    <col min="10757" max="10757" width="23.42578125" customWidth="1"/>
    <col min="10758" max="10758" width="16.140625" customWidth="1"/>
    <col min="10759" max="10759" width="17.42578125" customWidth="1"/>
    <col min="10760" max="10760" width="13.28515625" customWidth="1"/>
    <col min="11009" max="11009" width="5.140625" customWidth="1"/>
    <col min="11010" max="11010" width="26.42578125" customWidth="1"/>
    <col min="11011" max="11011" width="20.42578125" customWidth="1"/>
    <col min="11012" max="11012" width="15" customWidth="1"/>
    <col min="11013" max="11013" width="23.42578125" customWidth="1"/>
    <col min="11014" max="11014" width="16.140625" customWidth="1"/>
    <col min="11015" max="11015" width="17.42578125" customWidth="1"/>
    <col min="11016" max="11016" width="13.28515625" customWidth="1"/>
    <col min="11265" max="11265" width="5.140625" customWidth="1"/>
    <col min="11266" max="11266" width="26.42578125" customWidth="1"/>
    <col min="11267" max="11267" width="20.42578125" customWidth="1"/>
    <col min="11268" max="11268" width="15" customWidth="1"/>
    <col min="11269" max="11269" width="23.42578125" customWidth="1"/>
    <col min="11270" max="11270" width="16.140625" customWidth="1"/>
    <col min="11271" max="11271" width="17.42578125" customWidth="1"/>
    <col min="11272" max="11272" width="13.28515625" customWidth="1"/>
    <col min="11521" max="11521" width="5.140625" customWidth="1"/>
    <col min="11522" max="11522" width="26.42578125" customWidth="1"/>
    <col min="11523" max="11523" width="20.42578125" customWidth="1"/>
    <col min="11524" max="11524" width="15" customWidth="1"/>
    <col min="11525" max="11525" width="23.42578125" customWidth="1"/>
    <col min="11526" max="11526" width="16.140625" customWidth="1"/>
    <col min="11527" max="11527" width="17.42578125" customWidth="1"/>
    <col min="11528" max="11528" width="13.28515625" customWidth="1"/>
    <col min="11777" max="11777" width="5.140625" customWidth="1"/>
    <col min="11778" max="11778" width="26.42578125" customWidth="1"/>
    <col min="11779" max="11779" width="20.42578125" customWidth="1"/>
    <col min="11780" max="11780" width="15" customWidth="1"/>
    <col min="11781" max="11781" width="23.42578125" customWidth="1"/>
    <col min="11782" max="11782" width="16.140625" customWidth="1"/>
    <col min="11783" max="11783" width="17.42578125" customWidth="1"/>
    <col min="11784" max="11784" width="13.28515625" customWidth="1"/>
    <col min="12033" max="12033" width="5.140625" customWidth="1"/>
    <col min="12034" max="12034" width="26.42578125" customWidth="1"/>
    <col min="12035" max="12035" width="20.42578125" customWidth="1"/>
    <col min="12036" max="12036" width="15" customWidth="1"/>
    <col min="12037" max="12037" width="23.42578125" customWidth="1"/>
    <col min="12038" max="12038" width="16.140625" customWidth="1"/>
    <col min="12039" max="12039" width="17.42578125" customWidth="1"/>
    <col min="12040" max="12040" width="13.28515625" customWidth="1"/>
    <col min="12289" max="12289" width="5.140625" customWidth="1"/>
    <col min="12290" max="12290" width="26.42578125" customWidth="1"/>
    <col min="12291" max="12291" width="20.42578125" customWidth="1"/>
    <col min="12292" max="12292" width="15" customWidth="1"/>
    <col min="12293" max="12293" width="23.42578125" customWidth="1"/>
    <col min="12294" max="12294" width="16.140625" customWidth="1"/>
    <col min="12295" max="12295" width="17.42578125" customWidth="1"/>
    <col min="12296" max="12296" width="13.28515625" customWidth="1"/>
    <col min="12545" max="12545" width="5.140625" customWidth="1"/>
    <col min="12546" max="12546" width="26.42578125" customWidth="1"/>
    <col min="12547" max="12547" width="20.42578125" customWidth="1"/>
    <col min="12548" max="12548" width="15" customWidth="1"/>
    <col min="12549" max="12549" width="23.42578125" customWidth="1"/>
    <col min="12550" max="12550" width="16.140625" customWidth="1"/>
    <col min="12551" max="12551" width="17.42578125" customWidth="1"/>
    <col min="12552" max="12552" width="13.28515625" customWidth="1"/>
    <col min="12801" max="12801" width="5.140625" customWidth="1"/>
    <col min="12802" max="12802" width="26.42578125" customWidth="1"/>
    <col min="12803" max="12803" width="20.42578125" customWidth="1"/>
    <col min="12804" max="12804" width="15" customWidth="1"/>
    <col min="12805" max="12805" width="23.42578125" customWidth="1"/>
    <col min="12806" max="12806" width="16.140625" customWidth="1"/>
    <col min="12807" max="12807" width="17.42578125" customWidth="1"/>
    <col min="12808" max="12808" width="13.28515625" customWidth="1"/>
    <col min="13057" max="13057" width="5.140625" customWidth="1"/>
    <col min="13058" max="13058" width="26.42578125" customWidth="1"/>
    <col min="13059" max="13059" width="20.42578125" customWidth="1"/>
    <col min="13060" max="13060" width="15" customWidth="1"/>
    <col min="13061" max="13061" width="23.42578125" customWidth="1"/>
    <col min="13062" max="13062" width="16.140625" customWidth="1"/>
    <col min="13063" max="13063" width="17.42578125" customWidth="1"/>
    <col min="13064" max="13064" width="13.28515625" customWidth="1"/>
    <col min="13313" max="13313" width="5.140625" customWidth="1"/>
    <col min="13314" max="13314" width="26.42578125" customWidth="1"/>
    <col min="13315" max="13315" width="20.42578125" customWidth="1"/>
    <col min="13316" max="13316" width="15" customWidth="1"/>
    <col min="13317" max="13317" width="23.42578125" customWidth="1"/>
    <col min="13318" max="13318" width="16.140625" customWidth="1"/>
    <col min="13319" max="13319" width="17.42578125" customWidth="1"/>
    <col min="13320" max="13320" width="13.28515625" customWidth="1"/>
    <col min="13569" max="13569" width="5.140625" customWidth="1"/>
    <col min="13570" max="13570" width="26.42578125" customWidth="1"/>
    <col min="13571" max="13571" width="20.42578125" customWidth="1"/>
    <col min="13572" max="13572" width="15" customWidth="1"/>
    <col min="13573" max="13573" width="23.42578125" customWidth="1"/>
    <col min="13574" max="13574" width="16.140625" customWidth="1"/>
    <col min="13575" max="13575" width="17.42578125" customWidth="1"/>
    <col min="13576" max="13576" width="13.28515625" customWidth="1"/>
    <col min="13825" max="13825" width="5.140625" customWidth="1"/>
    <col min="13826" max="13826" width="26.42578125" customWidth="1"/>
    <col min="13827" max="13827" width="20.42578125" customWidth="1"/>
    <col min="13828" max="13828" width="15" customWidth="1"/>
    <col min="13829" max="13829" width="23.42578125" customWidth="1"/>
    <col min="13830" max="13830" width="16.140625" customWidth="1"/>
    <col min="13831" max="13831" width="17.42578125" customWidth="1"/>
    <col min="13832" max="13832" width="13.28515625" customWidth="1"/>
    <col min="14081" max="14081" width="5.140625" customWidth="1"/>
    <col min="14082" max="14082" width="26.42578125" customWidth="1"/>
    <col min="14083" max="14083" width="20.42578125" customWidth="1"/>
    <col min="14084" max="14084" width="15" customWidth="1"/>
    <col min="14085" max="14085" width="23.42578125" customWidth="1"/>
    <col min="14086" max="14086" width="16.140625" customWidth="1"/>
    <col min="14087" max="14087" width="17.42578125" customWidth="1"/>
    <col min="14088" max="14088" width="13.28515625" customWidth="1"/>
    <col min="14337" max="14337" width="5.140625" customWidth="1"/>
    <col min="14338" max="14338" width="26.42578125" customWidth="1"/>
    <col min="14339" max="14339" width="20.42578125" customWidth="1"/>
    <col min="14340" max="14340" width="15" customWidth="1"/>
    <col min="14341" max="14341" width="23.42578125" customWidth="1"/>
    <col min="14342" max="14342" width="16.140625" customWidth="1"/>
    <col min="14343" max="14343" width="17.42578125" customWidth="1"/>
    <col min="14344" max="14344" width="13.28515625" customWidth="1"/>
    <col min="14593" max="14593" width="5.140625" customWidth="1"/>
    <col min="14594" max="14594" width="26.42578125" customWidth="1"/>
    <col min="14595" max="14595" width="20.42578125" customWidth="1"/>
    <col min="14596" max="14596" width="15" customWidth="1"/>
    <col min="14597" max="14597" width="23.42578125" customWidth="1"/>
    <col min="14598" max="14598" width="16.140625" customWidth="1"/>
    <col min="14599" max="14599" width="17.42578125" customWidth="1"/>
    <col min="14600" max="14600" width="13.28515625" customWidth="1"/>
    <col min="14849" max="14849" width="5.140625" customWidth="1"/>
    <col min="14850" max="14850" width="26.42578125" customWidth="1"/>
    <col min="14851" max="14851" width="20.42578125" customWidth="1"/>
    <col min="14852" max="14852" width="15" customWidth="1"/>
    <col min="14853" max="14853" width="23.42578125" customWidth="1"/>
    <col min="14854" max="14854" width="16.140625" customWidth="1"/>
    <col min="14855" max="14855" width="17.42578125" customWidth="1"/>
    <col min="14856" max="14856" width="13.28515625" customWidth="1"/>
    <col min="15105" max="15105" width="5.140625" customWidth="1"/>
    <col min="15106" max="15106" width="26.42578125" customWidth="1"/>
    <col min="15107" max="15107" width="20.42578125" customWidth="1"/>
    <col min="15108" max="15108" width="15" customWidth="1"/>
    <col min="15109" max="15109" width="23.42578125" customWidth="1"/>
    <col min="15110" max="15110" width="16.140625" customWidth="1"/>
    <col min="15111" max="15111" width="17.42578125" customWidth="1"/>
    <col min="15112" max="15112" width="13.28515625" customWidth="1"/>
    <col min="15361" max="15361" width="5.140625" customWidth="1"/>
    <col min="15362" max="15362" width="26.42578125" customWidth="1"/>
    <col min="15363" max="15363" width="20.42578125" customWidth="1"/>
    <col min="15364" max="15364" width="15" customWidth="1"/>
    <col min="15365" max="15365" width="23.42578125" customWidth="1"/>
    <col min="15366" max="15366" width="16.140625" customWidth="1"/>
    <col min="15367" max="15367" width="17.42578125" customWidth="1"/>
    <col min="15368" max="15368" width="13.28515625" customWidth="1"/>
    <col min="15617" max="15617" width="5.140625" customWidth="1"/>
    <col min="15618" max="15618" width="26.42578125" customWidth="1"/>
    <col min="15619" max="15619" width="20.42578125" customWidth="1"/>
    <col min="15620" max="15620" width="15" customWidth="1"/>
    <col min="15621" max="15621" width="23.42578125" customWidth="1"/>
    <col min="15622" max="15622" width="16.140625" customWidth="1"/>
    <col min="15623" max="15623" width="17.42578125" customWidth="1"/>
    <col min="15624" max="15624" width="13.28515625" customWidth="1"/>
    <col min="15873" max="15873" width="5.140625" customWidth="1"/>
    <col min="15874" max="15874" width="26.42578125" customWidth="1"/>
    <col min="15875" max="15875" width="20.42578125" customWidth="1"/>
    <col min="15876" max="15876" width="15" customWidth="1"/>
    <col min="15877" max="15877" width="23.42578125" customWidth="1"/>
    <col min="15878" max="15878" width="16.140625" customWidth="1"/>
    <col min="15879" max="15879" width="17.42578125" customWidth="1"/>
    <col min="15880" max="15880" width="13.28515625" customWidth="1"/>
    <col min="16129" max="16129" width="5.140625" customWidth="1"/>
    <col min="16130" max="16130" width="26.42578125" customWidth="1"/>
    <col min="16131" max="16131" width="20.42578125" customWidth="1"/>
    <col min="16132" max="16132" width="15" customWidth="1"/>
    <col min="16133" max="16133" width="23.42578125" customWidth="1"/>
    <col min="16134" max="16134" width="16.140625" customWidth="1"/>
    <col min="16135" max="16135" width="17.42578125" customWidth="1"/>
    <col min="16136" max="16136" width="13.28515625" customWidth="1"/>
  </cols>
  <sheetData>
    <row r="1" spans="1:10" s="285" customFormat="1" ht="18.75">
      <c r="A1" s="281"/>
      <c r="B1" s="282"/>
      <c r="C1" s="282"/>
      <c r="D1" s="283"/>
      <c r="E1" s="283"/>
      <c r="F1" s="284"/>
      <c r="G1" s="282"/>
      <c r="H1" s="282"/>
      <c r="I1" s="282"/>
    </row>
    <row r="2" spans="1:10" s="285" customFormat="1" ht="15.75" customHeight="1">
      <c r="A2" s="1104" t="s">
        <v>3091</v>
      </c>
      <c r="B2" s="1104"/>
      <c r="C2" s="1104"/>
      <c r="D2" s="1104"/>
      <c r="E2" s="1104"/>
      <c r="F2" s="1104"/>
      <c r="G2" s="1104"/>
      <c r="H2" s="1104"/>
      <c r="I2" s="288"/>
      <c r="J2" s="289"/>
    </row>
    <row r="3" spans="1:10" s="285" customFormat="1" ht="15.75">
      <c r="A3" s="290"/>
      <c r="B3" s="291"/>
      <c r="C3" s="291"/>
      <c r="D3" s="291"/>
      <c r="E3" s="291"/>
      <c r="F3" s="292"/>
      <c r="G3" s="291"/>
      <c r="H3" s="291"/>
      <c r="I3" s="291"/>
    </row>
    <row r="4" spans="1:10" s="285" customFormat="1" ht="67.5" customHeight="1">
      <c r="A4" s="293" t="s">
        <v>441</v>
      </c>
      <c r="B4" s="294" t="s">
        <v>535</v>
      </c>
      <c r="C4" s="294" t="s">
        <v>536</v>
      </c>
      <c r="D4" s="294" t="s">
        <v>537</v>
      </c>
      <c r="E4" s="714" t="s">
        <v>3086</v>
      </c>
      <c r="F4" s="294" t="s">
        <v>539</v>
      </c>
      <c r="G4" s="294" t="s">
        <v>540</v>
      </c>
      <c r="H4" s="294" t="s">
        <v>541</v>
      </c>
      <c r="I4" s="291"/>
    </row>
    <row r="5" spans="1:10" s="285" customFormat="1" ht="15.75">
      <c r="A5" s="295"/>
      <c r="B5" s="294"/>
      <c r="C5" s="294"/>
      <c r="D5" s="294">
        <v>0.3</v>
      </c>
      <c r="E5" s="294">
        <v>0.35</v>
      </c>
      <c r="F5" s="294">
        <v>0.35</v>
      </c>
      <c r="G5" s="294"/>
      <c r="H5" s="294"/>
      <c r="I5" s="291"/>
    </row>
    <row r="6" spans="1:10" s="285" customFormat="1" ht="88.5" customHeight="1">
      <c r="A6" s="296">
        <v>1</v>
      </c>
      <c r="B6" s="297" t="s">
        <v>3087</v>
      </c>
      <c r="C6" s="297" t="s">
        <v>2813</v>
      </c>
      <c r="D6" s="737">
        <v>0.96689999999999998</v>
      </c>
      <c r="E6" s="737">
        <v>1.0902000000000001</v>
      </c>
      <c r="F6" s="737">
        <v>0.86439999999999995</v>
      </c>
      <c r="G6" s="738">
        <f>D6*0.3+(E6-3%)*0.35+F6*0.35</f>
        <v>0.96368000000000009</v>
      </c>
      <c r="H6" s="294" t="str">
        <f>IF(G6&gt;=97%,"Высокая",IF((G6&gt;=92%)*AND(G6&lt;97%),"Средняя",IF((G6&gt;=85%)*AND(G6&lt;92%),"Ниже среднего","Низкая")))</f>
        <v>Средняя</v>
      </c>
      <c r="I6" s="300">
        <f>D6*0.3+(E6-3)*0.35+F6*0.35</f>
        <v>-7.5819999999999999E-2</v>
      </c>
    </row>
    <row r="7" spans="1:10" s="285" customFormat="1" ht="102" customHeight="1">
      <c r="A7" s="295" t="s">
        <v>544</v>
      </c>
      <c r="B7" s="301" t="s">
        <v>3052</v>
      </c>
      <c r="C7" s="297" t="s">
        <v>2813</v>
      </c>
      <c r="D7" s="737">
        <v>0.99199999999999999</v>
      </c>
      <c r="E7" s="737">
        <v>1.17</v>
      </c>
      <c r="F7" s="737">
        <v>1</v>
      </c>
      <c r="G7" s="738">
        <f>D7*0.3+(E7-3%)*0.35+F7*0.35</f>
        <v>1.0465999999999998</v>
      </c>
      <c r="H7" s="294" t="str">
        <f>IF(G7&gt;=97%,"Высокая",IF((G7&gt;=92%)*AND(G7&lt;97%),"Средняя",IF((G7&gt;=85%)*AND(G7&lt;92%),"Ниже среднего","Низкая")))</f>
        <v>Высокая</v>
      </c>
      <c r="I7" s="300">
        <f>D7*0.3+(E7-3)*0.35+F7*0.35</f>
        <v>7.0999999999999952E-3</v>
      </c>
    </row>
    <row r="8" spans="1:10" s="285" customFormat="1" ht="96.75" customHeight="1">
      <c r="A8" s="295" t="s">
        <v>546</v>
      </c>
      <c r="B8" s="301" t="s">
        <v>3088</v>
      </c>
      <c r="C8" s="297" t="s">
        <v>2813</v>
      </c>
      <c r="D8" s="737">
        <v>0.93700000000000006</v>
      </c>
      <c r="E8" s="737">
        <v>0.96789999999999998</v>
      </c>
      <c r="F8" s="737">
        <v>0.96599999999999997</v>
      </c>
      <c r="G8" s="738">
        <f>D8*0.3+(E8-3%)*0.35+F8*0.35</f>
        <v>0.94746499999999989</v>
      </c>
      <c r="H8" s="294" t="str">
        <f>IF(G8&gt;=97%,"Высокая",IF((G8&gt;=92%)*AND(G8&lt;97%),"Средняя",IF((G8&gt;=85%)*AND(G8&lt;92%),"Ниже среднего","Низкая")))</f>
        <v>Средняя</v>
      </c>
      <c r="I8" s="300">
        <f>D8*0.3+(E8-3)*0.35+F8*0.35</f>
        <v>-9.2034999999999867E-2</v>
      </c>
    </row>
    <row r="9" spans="1:10" s="285" customFormat="1" ht="75.75" customHeight="1">
      <c r="A9" s="295" t="s">
        <v>531</v>
      </c>
      <c r="B9" s="301" t="s">
        <v>3064</v>
      </c>
      <c r="C9" s="297" t="s">
        <v>2813</v>
      </c>
      <c r="D9" s="737">
        <v>1</v>
      </c>
      <c r="E9" s="737">
        <v>1.1525000000000001</v>
      </c>
      <c r="F9" s="737">
        <v>0.75800000000000001</v>
      </c>
      <c r="G9" s="738">
        <f>D9*0.3+(E9-3%)*0.35+F9*0.35</f>
        <v>0.95817499999999989</v>
      </c>
      <c r="H9" s="294" t="str">
        <f>IF(G9&gt;=97%,"Высокая",IF((G9&gt;=92%)*AND(G9&lt;97%),"Средняя",IF((G9&gt;=85%)*AND(G9&lt;92%),"Ниже среднего","Низкая")))</f>
        <v>Средняя</v>
      </c>
      <c r="I9" s="300">
        <f>D9*0.3+(E9-3)*0.35+F9*0.35</f>
        <v>-8.1324999999999925E-2</v>
      </c>
    </row>
    <row r="10" spans="1:10" s="285" customFormat="1" ht="15.75">
      <c r="A10" s="305"/>
      <c r="B10" s="291"/>
      <c r="C10" s="291"/>
      <c r="D10" s="291"/>
      <c r="E10" s="291"/>
      <c r="F10" s="292"/>
      <c r="G10" s="291"/>
      <c r="H10" s="291"/>
      <c r="I10" s="291"/>
    </row>
    <row r="11" spans="1:10" s="285" customFormat="1" ht="63" customHeight="1">
      <c r="A11" s="1079" t="s">
        <v>551</v>
      </c>
      <c r="B11" s="1079"/>
      <c r="C11" s="1079"/>
      <c r="D11" s="1079"/>
      <c r="E11" s="1079"/>
      <c r="F11" s="1079"/>
      <c r="G11" s="1079"/>
      <c r="H11" s="1079"/>
      <c r="I11" s="291"/>
    </row>
    <row r="12" spans="1:10" s="285" customFormat="1" ht="15.75">
      <c r="A12" s="306"/>
      <c r="F12" s="307"/>
    </row>
  </sheetData>
  <mergeCells count="2">
    <mergeCell ref="A2:H2"/>
    <mergeCell ref="A11:H11"/>
  </mergeCells>
  <pageMargins left="0.70866141732283472" right="0.70866141732283472" top="0.74803149606299213" bottom="0.74803149606299213" header="0.31496062992125984" footer="0.31496062992125984"/>
  <pageSetup paperSize="9" scale="95" fitToHeight="0" orientation="landscape" r:id="rId1"/>
  <headerFooter>
    <oddHeader>&amp;C&amp;"Times New Roman,обычный"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15</vt:i4>
      </vt:variant>
    </vt:vector>
  </HeadingPairs>
  <TitlesOfParts>
    <vt:vector size="33" baseType="lpstr">
      <vt:lpstr>8 План18-20-2</vt:lpstr>
      <vt:lpstr>3. ОМ</vt:lpstr>
      <vt:lpstr>Исп.бюдж.01.01.2019</vt:lpstr>
      <vt:lpstr>8 План18-20-5</vt:lpstr>
      <vt:lpstr>12А</vt:lpstr>
      <vt:lpstr>12Б</vt:lpstr>
      <vt:lpstr>12В</vt:lpstr>
      <vt:lpstr>Минфин</vt:lpstr>
      <vt:lpstr>Муниципальные</vt:lpstr>
      <vt:lpstr>Областные</vt:lpstr>
      <vt:lpstr>Пр ГП 19-20</vt:lpstr>
      <vt:lpstr>Исп.бюдж 01.07.19</vt:lpstr>
      <vt:lpstr>11д. Оц эф</vt:lpstr>
      <vt:lpstr>11г</vt:lpstr>
      <vt:lpstr>4. ОКС</vt:lpstr>
      <vt:lpstr>8 План16-20</vt:lpstr>
      <vt:lpstr>12Г</vt:lpstr>
      <vt:lpstr>12Д</vt:lpstr>
      <vt:lpstr>'12Г'!Заголовки_для_печати</vt:lpstr>
      <vt:lpstr>Минфин!Заголовки_для_печати</vt:lpstr>
      <vt:lpstr>Муниципальные!Заголовки_для_печати</vt:lpstr>
      <vt:lpstr>Областные!Заголовки_для_печати</vt:lpstr>
      <vt:lpstr>'11д. Оц эф'!Область_печати</vt:lpstr>
      <vt:lpstr>'12А'!Область_печати</vt:lpstr>
      <vt:lpstr>'12В'!Область_печати</vt:lpstr>
      <vt:lpstr>'12Г'!Область_печати</vt:lpstr>
      <vt:lpstr>'12Д'!Область_печати</vt:lpstr>
      <vt:lpstr>'3. ОМ'!Область_печати</vt:lpstr>
      <vt:lpstr>'4. ОКС'!Область_печати</vt:lpstr>
      <vt:lpstr>'8 План16-20'!Область_печати</vt:lpstr>
      <vt:lpstr>'8 План18-20-2'!Область_печати</vt:lpstr>
      <vt:lpstr>'8 План18-20-5'!Область_печати</vt:lpstr>
      <vt:lpstr>'Пр ГП 19-20'!Область_печати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 В.В.</dc:creator>
  <cp:lastModifiedBy>Мисюк Т.П.</cp:lastModifiedBy>
  <cp:lastPrinted>2023-03-31T09:07:30Z</cp:lastPrinted>
  <dcterms:created xsi:type="dcterms:W3CDTF">2017-05-03T14:05:21Z</dcterms:created>
  <dcterms:modified xsi:type="dcterms:W3CDTF">2023-04-13T13:32:39Z</dcterms:modified>
</cp:coreProperties>
</file>